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nniopozzo\Documents\0_personale ennio\0_SoGeMi\lotto 1.03\computo cabina\"/>
    </mc:Choice>
  </mc:AlternateContent>
  <bookViews>
    <workbookView xWindow="0" yWindow="0" windowWidth="20490" windowHeight="8655" tabRatio="304"/>
  </bookViews>
  <sheets>
    <sheet name="Misurazioni" sheetId="1" r:id="rId1"/>
    <sheet name="Dati" sheetId="2" state="veryHidden" r:id="rId2"/>
  </sheets>
  <definedNames>
    <definedName name="_xlnm._FilterDatabase" localSheetId="0" hidden="1">Misurazioni!$B$3:$Q$4</definedName>
    <definedName name="_xlnm.Print_Area" localSheetId="0">Misurazioni!$B$1:$R$511</definedName>
    <definedName name="_xlnm.Print_Titles" localSheetId="0">Misurazioni!$2:$3</definedName>
  </definedNames>
  <calcPr calcId="152511"/>
</workbook>
</file>

<file path=xl/calcChain.xml><?xml version="1.0" encoding="utf-8"?>
<calcChain xmlns="http://schemas.openxmlformats.org/spreadsheetml/2006/main">
  <c r="G25" i="1" l="1"/>
  <c r="H25" i="1"/>
  <c r="K144" i="1" l="1"/>
  <c r="K110" i="1"/>
  <c r="K219" i="1"/>
  <c r="P219" i="1" s="1"/>
  <c r="P227" i="1"/>
  <c r="P225" i="1"/>
  <c r="P224" i="1"/>
  <c r="P223" i="1"/>
  <c r="P221" i="1"/>
  <c r="K220" i="1"/>
  <c r="P220" i="1" s="1"/>
  <c r="P218" i="1"/>
  <c r="P217" i="1"/>
  <c r="P216" i="1"/>
  <c r="K222" i="1" l="1"/>
  <c r="P222" i="1" s="1"/>
  <c r="K195" i="1"/>
  <c r="M222" i="1" l="1"/>
  <c r="I226" i="1"/>
  <c r="K226" i="1" s="1"/>
  <c r="G194" i="1"/>
  <c r="K196" i="1"/>
  <c r="K209" i="1"/>
  <c r="K210" i="1"/>
  <c r="K208" i="1"/>
  <c r="K211" i="1"/>
  <c r="K228" i="1" l="1"/>
  <c r="P226" i="1"/>
  <c r="K78" i="1"/>
  <c r="K77" i="1" s="1"/>
  <c r="K68" i="1"/>
  <c r="K69" i="1" s="1"/>
  <c r="M69" i="1" s="1"/>
  <c r="P228" i="1" l="1"/>
  <c r="M228" i="1"/>
  <c r="P77" i="1"/>
  <c r="M77" i="1"/>
  <c r="P78" i="1"/>
  <c r="M78" i="1"/>
  <c r="P69" i="1"/>
  <c r="I154" i="1"/>
  <c r="P140" i="1"/>
  <c r="F137" i="1"/>
  <c r="K137" i="1" s="1"/>
  <c r="K136" i="1"/>
  <c r="K135" i="1"/>
  <c r="F129" i="1"/>
  <c r="K129" i="1" s="1"/>
  <c r="F147" i="1"/>
  <c r="F120" i="1"/>
  <c r="K120" i="1" s="1"/>
  <c r="K19" i="1"/>
  <c r="K21" i="1" s="1"/>
  <c r="K13" i="1"/>
  <c r="K12" i="1"/>
  <c r="K11" i="1"/>
  <c r="K139" i="1" l="1"/>
  <c r="M139" i="1" s="1"/>
  <c r="P21" i="1"/>
  <c r="M21" i="1"/>
  <c r="K15" i="1"/>
  <c r="F75" i="1" s="1"/>
  <c r="K119" i="1"/>
  <c r="K118" i="1"/>
  <c r="P139" i="1" l="1"/>
  <c r="P15" i="1"/>
  <c r="G31" i="1"/>
  <c r="K31" i="1" s="1"/>
  <c r="M15" i="1"/>
  <c r="K94" i="1"/>
  <c r="K93" i="1"/>
  <c r="K92" i="1"/>
  <c r="K91" i="1"/>
  <c r="K90" i="1"/>
  <c r="K147" i="1" l="1"/>
  <c r="K146" i="1"/>
  <c r="K251" i="1" l="1"/>
  <c r="K253" i="1" s="1"/>
  <c r="P248" i="1"/>
  <c r="P246" i="1"/>
  <c r="K245" i="1"/>
  <c r="K247" i="1" s="1"/>
  <c r="P244" i="1"/>
  <c r="P243" i="1"/>
  <c r="M247" i="1" l="1"/>
  <c r="P247" i="1"/>
  <c r="P245" i="1"/>
  <c r="M253" i="1" l="1"/>
  <c r="N256" i="1" s="1"/>
  <c r="P253" i="1" l="1"/>
  <c r="K498" i="1"/>
  <c r="P498" i="1" s="1"/>
  <c r="K497" i="1"/>
  <c r="P497" i="1" s="1"/>
  <c r="F466" i="1"/>
  <c r="K490" i="1"/>
  <c r="P490" i="1" s="1"/>
  <c r="K484" i="1"/>
  <c r="P484" i="1" s="1"/>
  <c r="K478" i="1"/>
  <c r="P478" i="1" s="1"/>
  <c r="K472" i="1"/>
  <c r="P472" i="1" s="1"/>
  <c r="K480" i="1" l="1"/>
  <c r="K492" i="1"/>
  <c r="K474" i="1"/>
  <c r="K486" i="1"/>
  <c r="K500" i="1"/>
  <c r="P492" i="1" l="1"/>
  <c r="M492" i="1"/>
  <c r="K466" i="1"/>
  <c r="P466" i="1" s="1"/>
  <c r="P420" i="1"/>
  <c r="P418" i="1"/>
  <c r="K417" i="1"/>
  <c r="K419" i="1" s="1"/>
  <c r="P416" i="1"/>
  <c r="P415" i="1"/>
  <c r="P414" i="1"/>
  <c r="P426" i="1"/>
  <c r="P424" i="1"/>
  <c r="K423" i="1"/>
  <c r="K425" i="1" s="1"/>
  <c r="M425" i="1" s="1"/>
  <c r="P422" i="1"/>
  <c r="P421" i="1"/>
  <c r="P413" i="1"/>
  <c r="K403" i="1"/>
  <c r="P403" i="1" s="1"/>
  <c r="K402" i="1"/>
  <c r="P402" i="1" s="1"/>
  <c r="K396" i="1"/>
  <c r="P396" i="1" s="1"/>
  <c r="K389" i="1"/>
  <c r="P389" i="1" s="1"/>
  <c r="K377" i="1"/>
  <c r="P377" i="1" s="1"/>
  <c r="K370" i="1"/>
  <c r="P370" i="1" s="1"/>
  <c r="K363" i="1"/>
  <c r="P363" i="1" s="1"/>
  <c r="F350" i="1"/>
  <c r="P357" i="1"/>
  <c r="K356" i="1"/>
  <c r="K358" i="1" s="1"/>
  <c r="P355" i="1"/>
  <c r="P354" i="1"/>
  <c r="P353" i="1"/>
  <c r="P344" i="1"/>
  <c r="K337" i="1"/>
  <c r="P337" i="1" s="1"/>
  <c r="P331" i="1"/>
  <c r="K330" i="1"/>
  <c r="K332" i="1" s="1"/>
  <c r="P329" i="1"/>
  <c r="P328" i="1"/>
  <c r="P327" i="1"/>
  <c r="P315" i="1"/>
  <c r="P313" i="1"/>
  <c r="K312" i="1"/>
  <c r="K314" i="1" s="1"/>
  <c r="P311" i="1"/>
  <c r="P310" i="1"/>
  <c r="P289" i="1"/>
  <c r="K288" i="1"/>
  <c r="K290" i="1" s="1"/>
  <c r="P287" i="1"/>
  <c r="P286" i="1"/>
  <c r="P283" i="1"/>
  <c r="K282" i="1"/>
  <c r="K284" i="1" s="1"/>
  <c r="P281" i="1"/>
  <c r="P280" i="1"/>
  <c r="K468" i="1" l="1"/>
  <c r="P423" i="1"/>
  <c r="P419" i="1"/>
  <c r="M419" i="1"/>
  <c r="P417" i="1"/>
  <c r="P425" i="1"/>
  <c r="P358" i="1"/>
  <c r="M358" i="1"/>
  <c r="P356" i="1"/>
  <c r="P332" i="1"/>
  <c r="M332" i="1"/>
  <c r="P330" i="1"/>
  <c r="M314" i="1"/>
  <c r="P314" i="1"/>
  <c r="P312" i="1"/>
  <c r="P290" i="1"/>
  <c r="M290" i="1"/>
  <c r="P288" i="1"/>
  <c r="P284" i="1"/>
  <c r="M284" i="1"/>
  <c r="P282" i="1"/>
  <c r="P277" i="1" l="1"/>
  <c r="K276" i="1"/>
  <c r="P276" i="1" s="1"/>
  <c r="P275" i="1"/>
  <c r="P274" i="1"/>
  <c r="K270" i="1"/>
  <c r="P270" i="1" s="1"/>
  <c r="P271" i="1"/>
  <c r="K269" i="1"/>
  <c r="P268" i="1"/>
  <c r="P267" i="1"/>
  <c r="P266" i="1"/>
  <c r="P261" i="1"/>
  <c r="K278" i="1" l="1"/>
  <c r="P278" i="1" s="1"/>
  <c r="K272" i="1"/>
  <c r="P272" i="1" s="1"/>
  <c r="P269" i="1"/>
  <c r="M278" i="1" l="1"/>
  <c r="M272" i="1"/>
  <c r="P179" i="1"/>
  <c r="P177" i="1"/>
  <c r="K176" i="1"/>
  <c r="K178" i="1" s="1"/>
  <c r="M178" i="1" s="1"/>
  <c r="P175" i="1"/>
  <c r="P174" i="1"/>
  <c r="P173" i="1"/>
  <c r="P172" i="1"/>
  <c r="P170" i="1"/>
  <c r="F169" i="1"/>
  <c r="K169" i="1" s="1"/>
  <c r="P168" i="1"/>
  <c r="P167" i="1"/>
  <c r="K163" i="1"/>
  <c r="P163" i="1" s="1"/>
  <c r="G145" i="1"/>
  <c r="K145" i="1" s="1"/>
  <c r="K128" i="1"/>
  <c r="F155" i="1" s="1"/>
  <c r="K155" i="1" s="1"/>
  <c r="K127" i="1"/>
  <c r="F154" i="1" s="1"/>
  <c r="K111" i="1"/>
  <c r="K109" i="1"/>
  <c r="K100" i="1"/>
  <c r="K101" i="1" s="1"/>
  <c r="K89" i="1"/>
  <c r="K88" i="1"/>
  <c r="K87" i="1"/>
  <c r="K86" i="1"/>
  <c r="K85" i="1"/>
  <c r="K75" i="1"/>
  <c r="P75" i="1" s="1"/>
  <c r="K55" i="1"/>
  <c r="K54" i="1"/>
  <c r="I53" i="1"/>
  <c r="G53" i="1"/>
  <c r="K52" i="1"/>
  <c r="K51" i="1"/>
  <c r="K50" i="1"/>
  <c r="H49" i="1"/>
  <c r="K49" i="1" s="1"/>
  <c r="K43" i="1"/>
  <c r="K30" i="1"/>
  <c r="K29" i="1"/>
  <c r="K28" i="1"/>
  <c r="K27" i="1"/>
  <c r="K26" i="1"/>
  <c r="K44" i="1" l="1"/>
  <c r="K46" i="1" s="1"/>
  <c r="K95" i="1"/>
  <c r="K154" i="1"/>
  <c r="K171" i="1"/>
  <c r="P169" i="1"/>
  <c r="P178" i="1"/>
  <c r="P176" i="1"/>
  <c r="K53" i="1"/>
  <c r="K57" i="1" s="1"/>
  <c r="K131" i="1"/>
  <c r="P131" i="1" s="1"/>
  <c r="P101" i="1"/>
  <c r="M101" i="1"/>
  <c r="M75" i="1"/>
  <c r="M46" i="1" l="1"/>
  <c r="P46" i="1"/>
  <c r="F74" i="1"/>
  <c r="F76" i="1"/>
  <c r="M171" i="1"/>
  <c r="P171" i="1"/>
  <c r="M131" i="1"/>
  <c r="K207" i="1" l="1"/>
  <c r="K206" i="1"/>
  <c r="K205" i="1"/>
  <c r="K204" i="1"/>
  <c r="K203" i="1"/>
  <c r="K202" i="1"/>
  <c r="K200" i="1"/>
  <c r="P200" i="1" s="1"/>
  <c r="K199" i="1"/>
  <c r="G198" i="1"/>
  <c r="K198" i="1" s="1"/>
  <c r="P198" i="1" s="1"/>
  <c r="G197" i="1"/>
  <c r="K197" i="1" s="1"/>
  <c r="P197" i="1" s="1"/>
  <c r="K194" i="1"/>
  <c r="P194" i="1" s="1"/>
  <c r="G193" i="1"/>
  <c r="K193" i="1" s="1"/>
  <c r="G192" i="1"/>
  <c r="K192" i="1" s="1"/>
  <c r="G191" i="1"/>
  <c r="K191" i="1" s="1"/>
  <c r="P191" i="1" s="1"/>
  <c r="G188" i="1"/>
  <c r="K188" i="1" s="1"/>
  <c r="P188" i="1" s="1"/>
  <c r="K189" i="1"/>
  <c r="P189" i="1" s="1"/>
  <c r="K201" i="1"/>
  <c r="G190" i="1"/>
  <c r="K190" i="1" s="1"/>
  <c r="G187" i="1"/>
  <c r="K187" i="1" s="1"/>
  <c r="H38" i="1"/>
  <c r="G38" i="1"/>
  <c r="P364" i="1"/>
  <c r="K362" i="1"/>
  <c r="P362" i="1" s="1"/>
  <c r="P361" i="1"/>
  <c r="K343" i="1"/>
  <c r="K346" i="1" s="1"/>
  <c r="M346" i="1" s="1"/>
  <c r="P132" i="1"/>
  <c r="P260" i="1"/>
  <c r="E502" i="1"/>
  <c r="P500" i="1"/>
  <c r="M500" i="1"/>
  <c r="P486" i="1"/>
  <c r="M486" i="1"/>
  <c r="P480" i="1"/>
  <c r="M480" i="1"/>
  <c r="P474" i="1"/>
  <c r="M474" i="1"/>
  <c r="P468" i="1"/>
  <c r="M468" i="1"/>
  <c r="E458" i="1"/>
  <c r="E451" i="1"/>
  <c r="E445" i="1"/>
  <c r="E439" i="1"/>
  <c r="E382" i="1"/>
  <c r="E262" i="1"/>
  <c r="E256" i="1"/>
  <c r="E231" i="1"/>
  <c r="E181" i="1"/>
  <c r="E104" i="1"/>
  <c r="P454" i="1"/>
  <c r="P447" i="1"/>
  <c r="P441" i="1"/>
  <c r="P384" i="1"/>
  <c r="P265" i="1"/>
  <c r="P292" i="1"/>
  <c r="P293" i="1"/>
  <c r="K294" i="1"/>
  <c r="P294" i="1" s="1"/>
  <c r="P295" i="1"/>
  <c r="P297" i="1"/>
  <c r="P298" i="1"/>
  <c r="P299" i="1"/>
  <c r="K300" i="1"/>
  <c r="K302" i="1" s="1"/>
  <c r="P301" i="1"/>
  <c r="P303" i="1"/>
  <c r="P304" i="1"/>
  <c r="P305" i="1"/>
  <c r="K306" i="1"/>
  <c r="P306" i="1" s="1"/>
  <c r="P307" i="1"/>
  <c r="P309" i="1"/>
  <c r="P316" i="1"/>
  <c r="P317" i="1"/>
  <c r="K318" i="1"/>
  <c r="P318" i="1" s="1"/>
  <c r="P319" i="1"/>
  <c r="P321" i="1"/>
  <c r="P7" i="1"/>
  <c r="P240" i="1"/>
  <c r="P234" i="1"/>
  <c r="P183" i="1"/>
  <c r="P106" i="1"/>
  <c r="P450" i="1"/>
  <c r="P444" i="1"/>
  <c r="P438" i="1"/>
  <c r="P436" i="1"/>
  <c r="P434" i="1"/>
  <c r="P433" i="1"/>
  <c r="P432" i="1"/>
  <c r="P430" i="1"/>
  <c r="P428" i="1"/>
  <c r="P427" i="1"/>
  <c r="P412" i="1"/>
  <c r="P410" i="1"/>
  <c r="P408" i="1"/>
  <c r="P407" i="1"/>
  <c r="P406" i="1"/>
  <c r="P404" i="1"/>
  <c r="P401" i="1"/>
  <c r="P400" i="1"/>
  <c r="P399" i="1"/>
  <c r="P397" i="1"/>
  <c r="P394" i="1"/>
  <c r="P393" i="1"/>
  <c r="P390" i="1"/>
  <c r="P387" i="1"/>
  <c r="P386" i="1"/>
  <c r="P381" i="1"/>
  <c r="P380" i="1"/>
  <c r="P378" i="1"/>
  <c r="P375" i="1"/>
  <c r="P374" i="1"/>
  <c r="P373" i="1"/>
  <c r="P371" i="1"/>
  <c r="P368" i="1"/>
  <c r="P367" i="1"/>
  <c r="P351" i="1"/>
  <c r="P349" i="1"/>
  <c r="P348" i="1"/>
  <c r="P347" i="1"/>
  <c r="P342" i="1"/>
  <c r="P341" i="1"/>
  <c r="P340" i="1"/>
  <c r="P338" i="1"/>
  <c r="P335" i="1"/>
  <c r="P334" i="1"/>
  <c r="P333" i="1"/>
  <c r="P325" i="1"/>
  <c r="P323" i="1"/>
  <c r="P322" i="1"/>
  <c r="P254" i="1"/>
  <c r="P252" i="1"/>
  <c r="P250" i="1"/>
  <c r="P249" i="1"/>
  <c r="P242" i="1"/>
  <c r="P241" i="1"/>
  <c r="P237" i="1"/>
  <c r="P235" i="1"/>
  <c r="P230" i="1"/>
  <c r="P229" i="1"/>
  <c r="P214" i="1"/>
  <c r="P185" i="1"/>
  <c r="P184" i="1"/>
  <c r="P180" i="1"/>
  <c r="P161" i="1"/>
  <c r="P160" i="1"/>
  <c r="P159" i="1"/>
  <c r="P157" i="1"/>
  <c r="P152" i="1"/>
  <c r="P151" i="1"/>
  <c r="P150" i="1"/>
  <c r="P148" i="1"/>
  <c r="P142" i="1"/>
  <c r="P141" i="1"/>
  <c r="K435" i="1"/>
  <c r="K437" i="1" s="1"/>
  <c r="K429" i="1"/>
  <c r="P429" i="1" s="1"/>
  <c r="K409" i="1"/>
  <c r="K411" i="1" s="1"/>
  <c r="K405" i="1"/>
  <c r="K395" i="1"/>
  <c r="P395" i="1" s="1"/>
  <c r="K388" i="1"/>
  <c r="K391" i="1" s="1"/>
  <c r="K376" i="1"/>
  <c r="K379" i="1" s="1"/>
  <c r="P379" i="1" s="1"/>
  <c r="K369" i="1"/>
  <c r="P369" i="1" s="1"/>
  <c r="K350" i="1"/>
  <c r="K352" i="1" s="1"/>
  <c r="M352" i="1" s="1"/>
  <c r="K336" i="1"/>
  <c r="P336" i="1" s="1"/>
  <c r="K324" i="1"/>
  <c r="K326" i="1" s="1"/>
  <c r="M326" i="1" s="1"/>
  <c r="P251" i="1"/>
  <c r="K186" i="1"/>
  <c r="K162" i="1"/>
  <c r="K165" i="1" s="1"/>
  <c r="M165" i="1" s="1"/>
  <c r="K153" i="1"/>
  <c r="P144" i="1"/>
  <c r="K143" i="1"/>
  <c r="P143" i="1" s="1"/>
  <c r="K117" i="1"/>
  <c r="K122" i="1" s="1"/>
  <c r="K62" i="1"/>
  <c r="Q4" i="1"/>
  <c r="P5" i="1"/>
  <c r="P4" i="1"/>
  <c r="P162" i="1" l="1"/>
  <c r="K212" i="1"/>
  <c r="P199" i="1"/>
  <c r="K320" i="1"/>
  <c r="P320" i="1" s="1"/>
  <c r="P300" i="1"/>
  <c r="P346" i="1"/>
  <c r="K365" i="1"/>
  <c r="M365" i="1" s="1"/>
  <c r="P122" i="1"/>
  <c r="K25" i="1"/>
  <c r="K34" i="1" s="1"/>
  <c r="Q502" i="1"/>
  <c r="P437" i="1"/>
  <c r="M437" i="1"/>
  <c r="K398" i="1"/>
  <c r="M398" i="1" s="1"/>
  <c r="P343" i="1"/>
  <c r="P388" i="1"/>
  <c r="P409" i="1"/>
  <c r="M379" i="1"/>
  <c r="K372" i="1"/>
  <c r="M372" i="1" s="1"/>
  <c r="P350" i="1"/>
  <c r="P435" i="1"/>
  <c r="K308" i="1"/>
  <c r="M308" i="1" s="1"/>
  <c r="P352" i="1"/>
  <c r="K296" i="1"/>
  <c r="M296" i="1" s="1"/>
  <c r="K339" i="1"/>
  <c r="P339" i="1" s="1"/>
  <c r="P326" i="1"/>
  <c r="P324" i="1"/>
  <c r="P376" i="1"/>
  <c r="K113" i="1"/>
  <c r="M113" i="1" s="1"/>
  <c r="K431" i="1"/>
  <c r="M431" i="1" s="1"/>
  <c r="M405" i="1"/>
  <c r="P405" i="1"/>
  <c r="M411" i="1"/>
  <c r="P411" i="1"/>
  <c r="M391" i="1"/>
  <c r="P391" i="1"/>
  <c r="P186" i="1"/>
  <c r="P165" i="1"/>
  <c r="K149" i="1"/>
  <c r="M149" i="1" s="1"/>
  <c r="P67" i="1"/>
  <c r="K38" i="1"/>
  <c r="M302" i="1"/>
  <c r="P302" i="1"/>
  <c r="Q262" i="1"/>
  <c r="M122" i="1"/>
  <c r="Q238" i="1"/>
  <c r="K158" i="1"/>
  <c r="P153" i="1"/>
  <c r="K213" i="1" l="1"/>
  <c r="K215" i="1" s="1"/>
  <c r="M215" i="1" s="1"/>
  <c r="N231" i="1" s="1"/>
  <c r="P57" i="1"/>
  <c r="K40" i="1"/>
  <c r="M320" i="1"/>
  <c r="P34" i="1"/>
  <c r="P365" i="1"/>
  <c r="N502" i="1"/>
  <c r="P149" i="1"/>
  <c r="P398" i="1"/>
  <c r="P431" i="1"/>
  <c r="P296" i="1"/>
  <c r="P308" i="1"/>
  <c r="P372" i="1"/>
  <c r="M339" i="1"/>
  <c r="P113" i="1"/>
  <c r="N262" i="1"/>
  <c r="N238" i="1"/>
  <c r="Q458" i="1"/>
  <c r="K61" i="1"/>
  <c r="K63" i="1" s="1"/>
  <c r="P158" i="1"/>
  <c r="M158" i="1"/>
  <c r="N181" i="1" s="1"/>
  <c r="N382" i="1" l="1"/>
  <c r="M40" i="1"/>
  <c r="P40" i="1"/>
  <c r="M34" i="1"/>
  <c r="M57" i="1"/>
  <c r="Q439" i="1"/>
  <c r="Q181" i="1"/>
  <c r="N439" i="1"/>
  <c r="Q382" i="1"/>
  <c r="N458" i="1"/>
  <c r="M63" i="1"/>
  <c r="P215" i="1"/>
  <c r="Q231" i="1" s="1"/>
  <c r="P63" i="1" l="1"/>
  <c r="P95" i="1"/>
  <c r="M95" i="1"/>
  <c r="K76" i="1"/>
  <c r="P76" i="1" s="1"/>
  <c r="K74" i="1"/>
  <c r="I73" i="1" s="1"/>
  <c r="P74" i="1" l="1"/>
  <c r="K73" i="1"/>
  <c r="M74" i="1"/>
  <c r="M76" i="1"/>
  <c r="P73" i="1" l="1"/>
  <c r="Q104" i="1" s="1"/>
  <c r="Q504" i="1" s="1"/>
  <c r="N508" i="1" s="1"/>
  <c r="M73" i="1"/>
  <c r="N104" i="1" s="1"/>
  <c r="N504" i="1" s="1"/>
  <c r="N507" i="1" s="1"/>
  <c r="N509" i="1" l="1"/>
  <c r="N511" i="1"/>
</calcChain>
</file>

<file path=xl/connections.xml><?xml version="1.0" encoding="utf-8"?>
<connections xmlns="http://schemas.openxmlformats.org/spreadsheetml/2006/main">
  <connection id="1" name="Misurazioni" type="4" refreshedVersion="0" background="1">
    <webPr xml="1" sourceData="1" url="C:\Misurazioni.XML" htmlTables="1" htmlFormat="all"/>
  </connection>
</connections>
</file>

<file path=xl/sharedStrings.xml><?xml version="1.0" encoding="utf-8"?>
<sst xmlns="http://schemas.openxmlformats.org/spreadsheetml/2006/main" count="541" uniqueCount="303">
  <si>
    <t>74459EB0014D9127E4FD0579C2629E605B070F57B0A528610AF570349E88905C53C199BB03DE037EB5AD130BE9C1C617B277851FE03236F203E4074F58C6C629FF2634C529FF66742D8FA638E5CFFB4BAD510622602D4B0F1317C1C8D7E1C4F1590E65DA9360F813A8431EC5DB0ECF9DB6E60B99F2A84BA33CEE08F6DDD981241B0F39959D71AABE60238700A2861C9D4823995A4DA6D638816A6D914C550A46A6D222914D219B4236B5E1595F2C423AB5355D0B47A796368162A98A7C2A2F6BDA693EB5F7CCC4B8DF266126C60537007E3F198D84436EEEEE28170ED2939DA2270FB2BF0C3B914E52B6B3D4A30BDB577292CA57B29358B8057A627E7BA4276964A7E94987F7866C346E0BAEDA0FB295EDA95A3CBAB24C59E42B1B51B578846589B28094EB918C1DD9C1F50CA241DEB380B8EC8ED30F4FCCEC53681BF9B22FA72C2F4A3D8C0B6A12EA61DC500315E6F1FFFFFFFF2AE38EA406000000000000000000000000000000000000000000000090C8FD660E97CEA0D153D76E718F87C297211FE8304526CCC13FE2BA104FA61F33898BB136728A0E531414EF11F9788EC314DBB88440418F1C3F4E96411079EFDC3BC1141A211E8A44345A8D4695D36D99C26255118B0A8245E697472C4A237B8745C5B37C6925CA60F87A5CD3E2D9BD96E85A38B3D7B21650164D8B67F47A5CD7D75DA55F6626934ED0398D22655D59691B6A3CD742662D4BBF8E854C5BA9F2EC805EB2A2BE34DFAD03B378F9AA8C3C4131C202D26D7DFD0F671C467F5B2FDB75B373932387A15FF6627315B2B6BD6EF6A72FF5D9E77FA943B3FD52571FBEEB889F6A16B368527BEB361C25BD756B7A4EE0C1F4CBD2761615B68D70458717EA1CABB08CC519B7FAA42CCEB84C6E118B2B8AFB4B1B599C6590AE82B2B835B65B1B26450B591CB23864711459DC76679BE5D11459DC66742D8FA6C8E2F2FEB28CC5BDC666076B59FA2F5F6B9D416B50D3FCE73792DDB5B552B1875915CF09047D42D6FB9422E5C8DCED35BF7DCB43BC5AD7DD9BDEE066AD974AF3ACF13606C17B122B5C9381229F4CF9A4716D5CB22FC5B8370E6642139F4582B9E96678FB75C8A385E4D132B85E41C9236E489109F7933EE286947882B5E7F47109245E7B7E24DCA395A0347FAF5CD5D82CA93D4824B66E8AC084C084C084C084C084C0944A5602D332F831EE96B3E3EB23AAC61A5BB6CA7AED04A1178E29C7A3C20842AB41688DA535EB607B4B6B7B72583829E175CE0A0302D9B604210B41C888EC1D08156F712D169561756D89AAC55B5E5BA66CE1D6D7963682D2A85ABC15B625CAE2125BFE25B63536256EC371519C21250279F2E4D99AB9F68AD3321663DC8197B218E3BC57A6509FB913AE7DE122894112832406490C92982C82240649CC96544512B329654BA42A9298DCBF2089D9711223A7A00F77029C651C0610DA65639F050EA76440DD60272EE943128324A67024A67ED319343B5F0737E4AAD969F66AEDE6DB376FDF7C99D008C610EA3B3F420ECC81FCF5BFC4814E3E94614AC60E1794B040D021973B8189477D02E446765F99A23FA62EF44990EBADBBB5F1D8F14578F8F64DCB275EE84E4630C68484333954391F89E32585A9411A8A1BFA8C38D1980AC1481006043A47E0C85CF2476FE2B21F0C52788E4C9768C9081470C75CA6D419C73B9B098DA83B9127263F123191E5E93C54960685539746110CC6644C3999040E71C3D1984D8403A5DCB140C306116A107208F50875C3201CC9083CC6D72F180EF5B33289A35FF9231417FDF54F5928541BA7F74CD6ABE7A4C9B880B1CD0FC9F1894C3A1A39A4FA317675E710E7837A95C661F7B077484E4E8E8F2E2E0EE5F779FBE6A67755EBB4BE7DAB7D6BDD749AA4D16CB77589CD76EDF34DAF36B891A96259F61DE32A8727105F5ED513EF96767FCA7ABD871783EA8A288CBA506BC30993D59DEACA46F0021168351CB2890715202F4FA5A07520B8E379723B711067084924A0A0107EF4641A8F11A1E13AD1007409D2CA6AFA347043A2D09125E8280B26508D3C1CC300AFBE470AE3644803A8209F426DC070B2F837F5351CE33D29912F056F9ED48A7AAA07952DDB915449EA99B611F936FC5EB512681BF0722AE8CC9529DFD401459E680F98495C8C8D35308A5AD21C50DD8C39A092527D3407BCBA39407FA7725803B4126530063CAE69F16C014B742D9C2960590B288BA6C533043CAEEBBED8015E94DCDA19B9B534B9955B0FB3CBE703E1C8E9AB3219E01E7724B52FB7C7DDDA22A9B50A466AE39A104F5E982BE0441C77B86BACDA8789782C79CE0EF78A7111964421053D1719F44043E4A99D826A133745C32A62D04A0C2AA861D52A1806A5453E198452F94A148A85DB8021BCAE578FE77B0E43C53308C5A232588496A85A3C93D032650B67135ADA084AA36AF1AC424B945D66163A9933C1183F3EB69DA08C36A305A9D7DD3BD295EB7FE4EB70919BA205C9DB9360F853EFE85E9DD6E1B9D3D67C21531E756994674F4A378C9860F77934EEC825E37C492F5B575F7B4DB9C25A0B82502C767AF5A2763AE3EEAE842DC9D96F7A6F301DB24870B52AB8C8688784C99421619A35DA9DE1A5293908535C1362BFF8522B209EDCD1F0FDFB91FAFB9D50BD2581446A67041DA9CD13CC27F5666FD0BA6CC1D4E086345AA45BBBAA5D373B10090E89CCA737AD10166FFAF3D8BFFFA736CACAFD4E6004231E24FA56FBA3FDB573D5FFDCECD7FF68B63A30D876AE4887EB629C4934A491A0BE2FC8DF43EED180DC8701A12CA023F29932C19D21923C8A24AF60F3D012A98A246F53CA9648552479EB50B91D2179E9AA4B87E7D0254D0D7393C31CE93743C6D63FA8D0A03F582E3FC2F05E6A27EF5CDA17E576C6AD9829B7B3336ED7975B6DE5CDD248F290E46D83E4D948F2C47E913CE44B14F952C1A674255215F9D2A6942D91AA3BC3979012CDA4EF1FD60EDB79D84DEFB09E27D96B9EC17E51DA625C0399D2968A415B9479B876EF0453CDA1485B9E4463C85690AD205B41B6826C05D94A2A41B6B23D5591AD6C4AD912A9BA336CE59557776A8DD2139C9D2124C63D82292131EE6CAA4BC71877D21708932B28C6DA0E1E6C4542B28A90E43FD88A97373D8B92CC24C6A3AD48480A434872039171776025761958395E044421791F0927F01CEE7D28BF5DEC57E8221914C51559602CAACC6351E5F8B5B0280141138B9436FB7EC035FE05A1086D6308450BA1E801F7E4E24E7DF6F437C5C812298CDD1074E35EDE7384BEE71D7A701ABE959DF7B6D51FDCFCA6F6F52BA789729B1F8BCF02BCBBB52AD6310CF6EF08A7D2DF6028B7A70587E45D077EA8C63FA8CD6A12FFFFFFFFAD5F738F06000000B4873A0264F012009308310106000000BCB03B02E31C2D3F55F29932CE95C8F1D3BC674A20BD29C283FF94AE7DC9DD843877774C65520E0DC79C2A3F882471F298F84894CE3313A79C8C441316789AED291788EC6F6FDFF45AFDAFED41ADD3B851AE1F1DE51032D94647221680B21E098743ED6632717C391AC9645C97AB0B4B9C4E4220F650118D4144EEA0A2A87441FAE7844ADF92F0BA3A61987993FC0D7AF4484E02804DBBBA6D8FC63D263BB02D0FC3E9F249148E462C5095189F2F4B93A94E98C6AA33B1E32C661B85578C70D5081FEBD179A463C90F9D30D567265E31E3F64CEA4A56908AEB1E4C05874E919494452135A4A181745E2A0F86B0E00E2A6722DF324B549507DBDC09FC0EDF2510CC656327B68264898E8D826DF3A152A1C393345AD527E6E2D8B1991254B61FC42B0FE2D507F12C7F4B8EDFD9EBE96865365A9D8D1E1B51DB2CA86246AA6624F94C32AA8280AB81A7D0DA965761D4B927077D80DB188A5BB7B5E4F3709144A0975F513D95AB452E9F423076BBDA8AFBD24FE86451246FE3913D57BA1655778B6A0FA7DDD067D3A9EE352C98C80DBAAA3BCA0340715F69756AADB634AF7C37FF48FD60D081E1A5FE479340698272D9B64D27B4897759751448BA92753327BDD10327BDB1C75AE8B1643CF9EB5F64EC0C65F79C73FF0A3D9C2B77AC8CBC6BB46048ABBD23EF987DF18E84BE800C502F1FA17F122FBC9F48E7BEDAF52D34479F0E87D2616B03740A22F61B793F93BFF6EEC3A19A9258B6E6F83258C9825535538F07E0D9A159CE1912635932304B99074373CB33626A7AD45063B239E153DF537DC1D484F6D803A4716D66EC5F68739BF97119AB31AEA44D598D7199D30CABF9DCEAEF02A1A922A14142A31B0A121A2434486890D020A14142838406090D129AD2131AE376DA74BFC0694668DA3052C99B634853DFA2B2B377D3C68F2F1495D9FC3E8107D95F669BC01A4CC6D825609594C924CF442203F92F8EAC7324327B4F640ABC5731EFFE85AAB50018CF4C604C5D73337249399EE9D931687C287C196C5CE34C8F85D8F8746C4CE52BC131166E031DD1CCA761668FD051B610E861AA47666D2661EC5A82E77EB6A72A9EFBD994B2255215CFFDAC3363DEA60B03360CE25B5A9373F22F7ED2674D17DEF6BFFF8FACE3C6BBB266FAEA9AE98FD74C7FB266FAD335D39F99E9C9FB481A7B6F389B4EE5E28A4F3FE428E2FCF9455C3CBF8845BED45FF26456D59E27945296104A98144D7C7927B39BDA586D6492860C99E42C933CC5C358DBE19233898B61673DC5C3586A0AB5474C72CD0D23D79E1F0977352A2DB881B06AACFFF54369E3AC87A3F1243B245C5E0BE7AFB6756221366D1A9B6070B26D393E592BB1C9422BE72E2193F9E51199D2C8DE2153F1EC975A8932982F1FD7B478D6CB25BA16CE78B9AC059445D3E2992E1FD77599E5B28CC6C90DBA1F5AD328B98E816E83F70ABEA6D3A4451902977934983AA44BB94B033149F36595FFA2263DE342424B732779402CE14EB7F0A2146D79C89756F2A5356C7916F225B1437C092D79F18C62CFF9526EC831EE4992F0A330E7C2C01CE6B151BC84DAABCB8DFB3F9813B83B60BAB352188AAB1171E8E57168AF7627C6BF2010E1E6C4FD04A24E77E8398018002510E9D1613D103F7CA11AD322905A46A9D762D2C5DBE6838CFA6599B1712F4A324D91272AD2654506E45CB780E412475AFE290A32E58DCF50D6385B68957F86F264A69C16B94B3394533C5CA8A07E8F6628B8B4B82D4D71697133BA9647D3322D2D3E6541B01CB79414961E2C224287D7792E7BCC792764FF3077C25ABECB28FBD2C910A96B8F338CFC274904820E43B536B7B20823F33AD960B23BFBDC1F6B656F721EF2B984CF2268A6431925F97F67B8972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</si>
  <si>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10000000050000000100000000000000F8DB3B0258F01200B2750D0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6417F7A2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00000029530000B7000000789CE3B471CECFC9494D2EC9CCCF0B735670CE2FCD2BF14CB155325452D0B7E3E50200A29109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49141C1001000073696F6E6500000000BEB3E5773CF21200A3B4E57712000000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F442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4000000F81400000000000000672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53542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1300000005000000010000000000000084B43D0258F01200B2750D011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463C09A6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270000001F00000083780000B7000000789CE3B471CECFC9494D2EC9CCCFF3775170CE2FCD2BF14CB155325452D0B7E3E50200A21E091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14000000050000000000000001000000000000000100000006000000150000001600000017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618F168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8140000F8720100CDDC0000F8140000789CED5DDD6EDBBA96BEDE05FA0E44500C5A4C7722D9F9DD677700D776B20D388E6BBBB9E84DA14A8C4B4096BC293A07C74F337733189CABF30867BFD82C92FAA163C79693D891EC55142DB94C524B14C98FDF22B9F8CBEFF5D0F7A92B5818F407FFF5F6CD2FBFFCDE1274D41F9096D71F7C3AB00F20D0E581F874601D90C15849064C847EF8E9A016383E8BD801B9F63A9EFAA537B8BC0AB8FBE9E0807446908033C73F20FDE9A7837348C58741FB52152483836E1AEC5DA5C1CF0315BC0CA010C127F480D47D9E0441912FBEF8874A01E19B442F080FFE31A649F8D2970F879CC13D8F02256D0743F57FA7FE935FF248C06B83C2F25D22A134BFF41B61FAC82B7E07E13BC78FE4F3C331A32A4D8346B76ECF13E94F89E0B3EFCDC95AC27767859FF9FD9C602E27C81EE604519D0BDE0AA01AED73CB94350359EF152BCEDC8C4494BC432A987B8414CE6B27A535DF9F17F6273F668573CADC862E9DD5A63DEC8BD1587E8386D021FBF4C8BA38AA58D6896C1A5D3ED50D6A22044D34EEDCBAAA584B0555613209BF5352155242F858F005BB43F54D6EB8178CE266D051C5C6AADEBA97A0A5480A97593A1C52AB5C5D874F07A1CE75C947BE6E2351DCCA798DEB9054BD9116F1C5BF853AAB1C90CFBEDBBCCF2AB5237A91FCB432A7185EB2207BE6A8732FF58C13F69D7BDACF5A0F7C98DBDBB4CDF5C63C7D5247C8D2E4D33B22FBDD874A855AF6EBCE382DA337EEB702B7CBDD4068F94CE289A83B623EAD12C6EFD4CC5E63D475866D061FFBBBFC23052A06D555FF197115D69954B5D0BBECBD84234278EFB69335F07EAD2D3F6E38FBE55BA331FCA0FBE9103E1B341EF9A62ADC92CD24F9A1C7C6A18AD5FC3F27D947F487492A08DE8CA77D3D5A34583486D7B55483D361DB08578C70350943DBB0D2CC10B1CD48C58C54D3C8A51F5A66C436231533A2F3B4AE79D6CB5AD7A16744B82B78BD3923F8F9A59DC5E5A05B0BB2783D12D78E68F71A0F459DE62013F55D5977C6431B910864AA4C32188DAF03F339EEF5EC636EB8F34062443B61E7EFDDE1606C7E6B2DEBB16C9C200A4A7EF9BD3FC8F045F79AE9914699230D330B20A792418EAD21A732073930CAD3E934459E0A228F2143E499459EB323EBECC8BEB8B82839F258C5469E545E20E8313E3D424F1AD969E8A975A0A5F9E9101E89A64F4769F3AE3B7A0039B574E4520FD28BF0AADFADD7BAB3E3846CDBD983645B3105D0338369F6B603910D69339D11C60A7FA6941901B4CB6664D459E07A53A828A3B0A305CA9648D5FEE732290B8D60502865B5128BDB405934954DA02CBA02946AA914CB892A0860820AFFAA9123C972B430CF4C49DDABAF30202E7AC6E3BFD4FD60F6E9200074847F3F1D7426A34398561C9281C3D9DD9D03330F5F61E6D1A359A0065CCEA65030D5A92BCB527F0D98F8EBBFC9358B263C2EDD5A96FECBC40984CC92431335810F897C04681FE6C801F01B721112983D393ECD932170994783A943BA94BB34109334DF631F2EADEE273197EA1C73A966CCE5D2F9F18345E1300891B5206BD91FD652707B592A47D682AC851693B5203BD99EAAC84E9EA52CB293EDEA8AEC04D9494E76727CF07029FF3863279D908F1CC1EE292EE62339594D4E70317F2BE464267131B8092EE66B74DE236EF29CC5FC930C748E35E89CCC820E456BD84E01CE83EC2F833755EBC8AE1CD9E7398C61768637F609024EE901A75239B2CED118B65780D30947D44E5B33442A66A46A468ECDC889193935236733659FA7B1DA3D17C1F48A661A2E02BBE292EC7AE83197E6609B8DC7A9F54B72CCD3398E799AC17D9787430A9D1A29E64E21FE43E1CB403E52CC7D457CA4983174EE11E23F87629E659873AA31E72CC39CA64F033724B3DBC511784C1902CF5381E757836CCA30420F420F42CF1E41CF79063D671A7ACE1F811EF23E124EE039DCFB8006CFDD4721A3CCA781D0AEECFEB38A0D41A9BC401884BBFFF460BE4718541F8D79D4EE678AA91D45F0ED560115EE02DC8CAAB80BF059CA6A257017E0B6742DEE02C56BEC025C5AFA8A9D7D2FB9187231C70E2E1E65076EC8C721A164A4DE0339027204E40805E10833899122204578158A70EB02C4255F4D8E1869CB04F210885812272E075558364B2C8BA6C5230A4B</t>
  </si>
  <si>
    <t>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2B2C6B4D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7700000087000000FDBD000007010000789CE3E4B4F1CC4BCB77C94F5670CE2FA80CCA4CCF28B15502318B404C054767674785E2FCB492F2C4A2548560BD023D473D25859002A0065B254310CBAD2817A8434921ACA838CF56C9D8584921B828D92F17240464404495149C73536C950C9414DC72F272C17A81CCF462B011FA76BC5C001E882754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100000031CAE22D01000073696F6E6500000000BEB3E5773CF21200A3B4E5770A000000FD0B00000000000000672F36CFBAC50100E2C1013FBDC50100E2C1013F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461746947656E6572616C692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D000000E20100000000000000672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45502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000000B70000000000000000672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36F6C6C656374696F6E56432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07000000050000000100000000000000A4719F0140F11200B27510010B0000000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D4F3018E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6D0B00003D310000DBEE0000FD0B0000789CED5B5B6FDB38167E9E05F63F70B3C56083ED389673693C6D06D048722AC0B7488E0BF48D9668975889D450B43B08F263E675DEF6376CFFD81E92BADACEA6DE99495360F2509314CFED3B87878794FACD1B174B7A4D181138A13FA0BFFEE59B37EE75730C4D3221C5D5D1119A8A682AEEAE8EBA47C8499919D9B0483526AB95FA71789AAA5F3FCD446E264820572D379F89A56AFC6044383C49482429670E8B7276A2874FDAA28BA9376B1C0BEE459CF194461C8DC58489908260EBF4087A619ABA797675D4EBEFE17EE3A9A16FDEF892A4371E7209E8858F95865C488E322250F22DCE78FE9AE4245ADF01094131017234C41B2EB01AA1E81F11079B08CBE986EBC78686EEB2C152AE71C986A229C5401E53040AAF05B9BBC3C7061FA9C0188834B93ABAF746F747E86457511BA5345F0B5C51742B92F9F0BEFB004DC445C60F21F1192206DD8324EDDA110EEF5F249491177BE787101D98EDD36C10DCBF98F53A9DD9F97ECA43252DF63AF851CFFCE998BD8EE98363ACDEEFE399E81829690461403E07AFD07AC56194CBC23F38CB702231934439F0FBCF774C641D9B754B11ADC17B8960ED6E682EF56826F88A48C95F2212239247C93A8738C0E59A36B20FF253D43B46014D28C840388A889038250CA4119017E31565F42076A7C7C8063CA288167C30CAD68B4542238A72223600DA41FCCEF47A28203888F21C34897E5AD3D24F58108238A269CA1760F041BC2E14AF089CCA99368BABC517ADC1BA127A640BD9E95DA0A8738612B25A11C4FEF36F6475FB27FDB38344BD8230CB20A123492246A30F040992C0CEB2010BBE2F03C0C4DA4B251E049188E439161466489848E5A75F54D42434A50C86C195A06DBECE745A79891867D1874FBF02312C6B2E625AD96422B9CC292AE09638D7D4FBE442842E096C2C7786BF71AE7EA65608B0D0B02726A4215E0F9157EF68C030CFC1F92007A315E582C1F60A7B2CD20A48AC7C09069B69C0A99126639A1116AB283CC80397A5075402AE11551EE72C5F275A13DEC4F420F6FD63E46D40A9B5AA50F24A10ECD2909873BD65AFE83AA611960256CD41BCAD6E53F772E129ED01470E2154AC2488023581C33F6A6148B5B820D40E9365B5706AE60E8026C10BA84024B89E83A73644D0A50EE62AAA0B4D884A5F28C219951CC29C2B4420774078C5AD9CF61200826859C7BC60C1BFC30018031642AD8EE604C8C552555B3AE6A40ABE0AEF620E2DC568C30FC41832A63FB77506AEF82A39903161E706930E6177E82EF4C886675DC08ED7BBFCDC1DCF0559F1C3C26693993DF41E9275F1E29F50FAF4FF6F59AA66DEAE76D5D856D1AC87DD6B5315D1802ED44257DC6D1941E96C75ACB3B37EF7BCFBEAB2777AD9BBF47A67505A4F59722DA0D0EF77FADD6EF7AC77D1BF3CEB9DF7CFBDEF4EAD73A8BC39F0D175F8122739386C96252B3BCBB48DAA3D592E753BF41DBE5C8E6535F13627F6F06656F59D349B8BFCB45B0D14EAD686F9418D8E1F203FD68C3548D3623B0799DCE01B2C723B65A60D268E7251361D91954D2F6269D9D646284579EAD2BC9A02FA3BC1B4D11BF961A3E739E351D51D0C2A194C0AD9E854325904403444367843AFC11B7A9E53683748565E0C0655D0C051C7721789B13FCF7A8DB615CAE2AC95597E61BF6AFF98B08A7C4FD0186CD5583B3C769CA02DABFDA0BBC607CE643C0BECD96C02E067C571D1950512A7DD13AB77625DF6FB5BF8B83258B51F8FD380E893E47015E8DF3DEA565A98832A4193E5B61487E55B8C7D7637DC88F618C4B69747E6407B9BC87477C680ED230AB35CD3C0C9B36C6D5CA939B4E7EE0068BB953D4AF39DE7B30CE4D500EB6E23D643E5538C46C5D10346BC5C270760867D46B750700B981D1E0FF2E200CF64528EA91108489F99D81FB993B2A946D3AC1A2D9A27FB14B39A8A39E67CF31CF4EAD57A4141E45587A82FA15B3B7C2B1FB73C1F660ECE6A437477DBF3DF26F235832275CDF0B72BF9FACB18B3AD5F2300A03412CB847FFC328AB551AEF06C27B026C6CF1BE1678EEF3E74C3453B8617CF1BE15ABF678A7185E74EA6686CC2BAFB9C51AEF47BAE2897786E658A66A1F3AC117EE6F8EE43574576338617CF1BE15ABF678A7185670BE5B1486B1BA08366EA7A805F1D8D27C1084E98BE12701B78EFDFDBE8DA1B7B813DF4D5A92E25704256B7409D15619DA28C6D38F4034DE216EF72A474616114E01250688DB9483112545D6E01407FDB466CAB528F27AEE63258E54D7BF72AF0E6A4B0EDB30D9DDAC1CC7726433BD8B235C3E2ABB6D5761C6F36B3DFFB93B1873C74730BDE9CD9C5BDAAEBF96864CFBCC06FF8F8465DBAC84FBF7CCD568F266ECB4E1F79A1E7DC6A144A3BBDEA1AF46BB6541FB127C3215888207E87F6AD5B79D2292EE4BE66FBAAB53AF2C3DBC06E79D09C78EFBEEAF5A92E9638A30B9A90D22C35F4A74D5FD4A6F63E5A0EBAD7B694D429DF8CA8DBA1E148EFFED00A9CB21506E63A4F35ED61D99C47C351DDAEA74C57F5F874558CABDBB2E9AABCAC8427BEBAF02DB99D94DAA8D73539456196DFAAC2418A35000EBD6B063DEB0C2865A228C17A0BE8264CD851141A110E5BDE28FE96D539BDB76AA6309F62F5A2C1A552FFFFFFFF466F5B4D06000000E4B39F0180F112006F17340102000000A0719F0101AA2EC962F57D0790E04CFF940FAAEF3CA6FE460FCC48A27E06F867F5E3A5982685F786F4212739B99C1417B12C8AEF6622CF8CD5E5D71CDDFF65D240A4A5F50D6080138DD5AB24A88F7E2B1E539CE71FB988D134FF38C988F9C025FF383281F963127959D1807454B420608A562853FDB8E406C1B3A4ABEA4DDA747D7574D9E9A9F717C34613ABCBF553D57C9B55CD1997374ABF2E4CB214F877B7ACD5D5F7DCD699E93B6C53CEB03ADD62046C3793CECD10E00445E7D5D12B23C14EE84F55C7DD8035642DB8BAEF8439678603304CA880301B48017DE0D53FBDE8F45EC1D374A157C07E53ED0D067F488C6C2106D42CC76095688AC032A5EF4CC5C82BF5C01A12368FAED51579BFE8868B796466F71AB3CF61F63B1187EB85F7B31458DFF04DC5F2E750AAD91004298A3A7907753A65F6695DBCCEEBCC63CF1BAF624049587C5CB75D7593CDF53BA86EA7DB454BCA38C2A87514A889FBADBF0739BDF78249C9C91F0FFCB1AF2EC9F7D4F0464533B60FCF1D9B06CD743AD0997420CC4B035DD92D690430F9092C56FDAA0F3C4921A95641BA43686D13BA9D61E751AA5E8B6A587C17C5561D95451E177ADA229FFBA182E7119AB36D45D5776790AB0853AF0D1F213EDFABAFFA3A22C78F125FEC4AD695977A47FBB8E857BBD4E64DFE67515F6E530744EDBEB9DAA2F40734B01E784462AABF0BD866D70EB641B5D1F98059F9D9CD0C2FD6EA2B0934E42BAE579DCA51D07E1B9BC40D7983E9BEEE8D8355DD013EC1CA32BB08B47AAAA59E0E78F152AEA41D346907AD6C3EC7EAF30B5F6D1CFAA0BDD6D1E5B1950E134FBD983B533B01D65EB413A91D02D9CF5D26B2C5C959E792A7D377686824CCA6FAE71D8DE507F00350BF2574F54131382DDB1ECC39AD7A73C7E49C19CD7848EFC83B6344A4BE21794799176BDD4E1A288AA5FE60477F43B935E64D919345495EBD857BCF795ABFD103C8ABCE3BD010D21EAC1D47CDEF9D5743D722563B904E8466C470515340AFCD942540E5994B82613E48629F4DD660E20C605D2EF13D64A54874504841310941540E405905B17F7FCBF4370EA6D6BE9FAAAF4938B2EE8F9049A7DE7400F5D0B5A031841167B0A78D53C5FB034F61DD84773A409D0402E5EF5DFD07DB224FE2B258F1651295ED5BA8331246AA3A468A7F91892CBB006A535A00DEF863650D985448020C5ACC28442166390AD5E716BFB734557E6E85C60FBBF132772079CA43A24556A16222A50CDF872345860B1D29C6BB73E729BD5B4BFBA3BDBB83F7DCD9837730FA0D78130D78307A00705D0B187D5411685AC3BA85CB96AA004DAB28000B23B47F82D153FAA796F6E4FE09467BFC638F910B81CDA22CA95C6170B1C74F894B2DEDC971B1C77B70194FF47736FA1452C012442272591AED0FE6223A679926696C2E75BCBE85CDCFE490315872516588F1E42991AEA53D39D2E349592F35777533D4FECF09FF054E4F925D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E000000050000000100000000000000DCB63B0258F01200B2750D010E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945A006F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52010000990200006E970000E2010000789C6D92CB6E83301045D7A9D47F20FC0081BCA550290122596A121268F7601C64096C6ABB59F4EBEB07AEB3E86A8EEF0CC3CCB527BB84761D82025392E55E42BF89004DEC47BEF7F6FA3299EC8040BD4C8026CBB55AB27BECFBDE9E091552C46F58967F52883C8639628F4A54D3E954A7326E8B0EECF16FD1073971A66A72F613C6FE4C4364616E616161A92121F7ABEE7C15396B8D449B63C591124B3CD0F707D332688A21A986911D15B5E55BCD753CB6322ED72BA9C00E8EFF3B2321A84957758D4D652A878FFDF92C08A320DC6CB7AADF99F5E1D85A62E470EE70E170E970E570ED70330E0089E8E45816ADF90D03046907407349CD67D28103C34DAB3D00653F641C993D40D17629166A6A7938567D0129517BC95DF810561688594F12FF23ACE9D051088D11CADD1B67A662DFE12F7B35F6264EE9459E9ED0995880041068531603F5D076C1F33B94CA2FEC20B8E3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</si>
  <si>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41414D5648465353FEFFFFFFFFFFFF7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61200414153465353474ED2C60C40CDCC0C40000800000800000001000000010000000100000003000000040000000800000019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2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E0F01200FFFF7F0004000000440E340128000000010000000CB49F01F0F01200000080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1200030000000200000068FF300164000000010000000000000001000000FC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F8EF1200000000000300000068FF30016400000001000000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9000000453A297201000073696F6E6500000000BEB3E5773CF21200A3B4E577050000009D0000000000000000672F36CFBAC50100EA70313FBDC50100EA70313FBDC50100000000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56657273696F6E6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000000000000000000672F36CFBAC50100672F36CFBAC50100672F36CFBAC50110000000FFFFFFF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1000000446F63756D656E746F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7000000070100000000000000672F36CFBAC50100672F36CFBAC50100156BDA3EBDC5010000000001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496E666F446F632E786D6C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06000000050000000100000000000000884E500288F01200B2750D0106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F92C517406000000000000000000000000000000000000000000000041414353000010000000000001000000000000400200000000000000000000000000000000000000000000000000000000000000000000000000000000000000000000000000000000000000000000000000000000000000000000000000000000000000000000000000000000000000000000000000000000000000000000000D000000080000000EF000009D000000789C6360000111070000700055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FFFFFFFF08000000050000000100000000000000B075500258F01200B2750D0108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0</t>
  </si>
  <si>
    <t>Nr.</t>
  </si>
  <si>
    <t>DESIGNAZIONE DEI LAVORI</t>
  </si>
  <si>
    <t>D I M E N SI O N I</t>
  </si>
  <si>
    <t>Quantità</t>
  </si>
  <si>
    <t xml:space="preserve"> </t>
  </si>
  <si>
    <t xml:space="preserve">  </t>
  </si>
  <si>
    <t xml:space="preserve">   </t>
  </si>
  <si>
    <t>par. ug.</t>
  </si>
  <si>
    <t>lung.</t>
  </si>
  <si>
    <t>larg.</t>
  </si>
  <si>
    <t>H/Peso</t>
  </si>
  <si>
    <t xml:space="preserve">    </t>
  </si>
  <si>
    <t>T O T A L E  euro</t>
  </si>
  <si>
    <t>M I S U R A Z I O N I:</t>
  </si>
  <si>
    <t>SOMMANO m²</t>
  </si>
  <si>
    <t/>
  </si>
  <si>
    <t>SOMMANO m</t>
  </si>
  <si>
    <t>SOMMANO cad</t>
  </si>
  <si>
    <t>Scavo di sbancamento con mezzi meccanici, a qualunque profondità, di materiali di qualsiasi natura e consistenza, asciutti, bagnati, melmosi, esclusa la roccia, inclusi i trovanti rocciosi o i relitti di murature fino a 0.750 m³. Compreso lo spianamento e la configurazione del fondo anche a gradoni, la profilatura di pareti e scarpate; le sbadacchiature ove occorrenti; le opere provvisionali di segnalazione e protezione. - con carico e trasporto agli impianti di stoccaggio, di recupero o a discarica autorizzata, di materiale non reimpiegabile, esclusi eventuali oneri di smaltimento,</t>
  </si>
  <si>
    <t>SOMMANO m³</t>
  </si>
  <si>
    <t>1C.02.350.0010.a</t>
  </si>
  <si>
    <t>Rinterro di scavi con mezzi meccanici con carico, trasporto e scarico al luogo d'impiego, spianamenti e costipazione a strati non superiori a 50 cm, bagnatura e ricarichi: - con terre depositate nell'ambito del cantiere</t>
  </si>
  <si>
    <t>1C.04.050.0010.b</t>
  </si>
  <si>
    <t>Sottofondazioni in conglomerato cementizio realizzate mediante getto, con l'ausilio di gru o qualsiasi altro mezzo di movimentazione, di calcestruzzo confezionato in impianto di betonaggio, con cemento 32.5 R ed inerti ad assortimento granulometrico adeguato alla particolare destinazione del getto; resistenza: - Rck = 20 N/mm² - esposizione X0 - consistenza S3</t>
  </si>
  <si>
    <t>SOMMANO kg</t>
  </si>
  <si>
    <t>1C.04.400.0010.a</t>
  </si>
  <si>
    <t>Casseforme per getti in calcestruzzo, eseguite fino a 4,50 m dal piano d'appoggio, con impiego di pannelli di legno lamellare, comprese armature di sostegno, disarmante, manutenzione e disarmo: - per fondazioni, plinti, travi rovesce, platee</t>
  </si>
  <si>
    <t>1E.01.010.0085.c</t>
  </si>
  <si>
    <t>Fornitura e posa di corda di rame nuda per impianto di terra, compresi i collegamenti e giunzioni ed ogni altro componente necessario per l'esecuzione a regola d'arte di sezione: 35 mmq</t>
  </si>
  <si>
    <t>1E.02.030.0070.e</t>
  </si>
  <si>
    <t>1C.12.610.0120.a</t>
  </si>
  <si>
    <t>Fornitura e posa in opera di pozzetto prefabbricato in calcestruzzo della dimensione interna di cm 40x40, completo di chiusino o solettina in calcestruzzo, compreso scavo e rinterro, la formazione del fondo di appoggio, le sigillature e qualsiasi altra operazione necessaria per dare l'opera finita, con le seguenti caratteristiche: - pozzetto con fondo più un anello di prolunga e chiusino, altezza cm 95 circa</t>
  </si>
  <si>
    <t>1E.03.070.0060.b</t>
  </si>
  <si>
    <t>1E.03.030.0030.k</t>
  </si>
  <si>
    <t>Interruttore automatico magnetotermico modulare, curva C, con modulo di 17,5 mm e conforme norme CEI 23-3, potere d'interruzione pari a 10 kA, tipologie: - tetrapolare con In 6÷32 A</t>
  </si>
  <si>
    <t>1E.03.030.0030.l</t>
  </si>
  <si>
    <t>Interruttore automatico magnetotermico modulare, curva C, con modulo di 17,5 mm e conforme norme CEI 23-3, potere d'interruzione pari a 10 kA, tipologie: - tetrapolare con In 40÷63 A</t>
  </si>
  <si>
    <t>WBS</t>
  </si>
  <si>
    <t>.</t>
  </si>
  <si>
    <t>ARTICOLO</t>
  </si>
  <si>
    <t>-</t>
  </si>
  <si>
    <t>U.M</t>
  </si>
  <si>
    <t>PREZZO</t>
  </si>
  <si>
    <t>IMPORTO</t>
  </si>
  <si>
    <t>PREZZO UNIT.</t>
  </si>
  <si>
    <t xml:space="preserve">   SICUREZZA €</t>
  </si>
  <si>
    <t>Esecuzione Lavori-Sbancamenti, sottoservizi e opere civili</t>
  </si>
  <si>
    <t>Avvio lavori</t>
  </si>
  <si>
    <t>IMPORTO PARZ.</t>
  </si>
  <si>
    <t>Scavi e sbancamenti</t>
  </si>
  <si>
    <t>SICUREZZA €</t>
  </si>
  <si>
    <t xml:space="preserve">  SICUREZZA €</t>
  </si>
  <si>
    <t xml:space="preserve"> UNITARIO €</t>
  </si>
  <si>
    <t xml:space="preserve"> PARZIALE €</t>
  </si>
  <si>
    <t xml:space="preserve"> TOTALE €</t>
  </si>
  <si>
    <t>IMPORTO TOT.</t>
  </si>
  <si>
    <t xml:space="preserve">TOTALE ONERI INTERNI DELLA SICUREZZA </t>
  </si>
  <si>
    <t>IMPORTO COMPLESSIVO DELL'OPERA</t>
  </si>
  <si>
    <t xml:space="preserve">IMPORTO LAVORI SOGGETTI A RIBASSO D'ASTA </t>
  </si>
  <si>
    <t>€</t>
  </si>
  <si>
    <t>YA.1.E.03.02</t>
  </si>
  <si>
    <t>YA.1.E.03.01</t>
  </si>
  <si>
    <t>YA.1.E.03.02.01</t>
  </si>
  <si>
    <t>scavo di sbancamento area di intervento</t>
  </si>
  <si>
    <t>Macerie inerti provenienti da demolizioni, rimozioni, scavi</t>
  </si>
  <si>
    <t>conferimento in discarica</t>
  </si>
  <si>
    <t>base di fondazione del plinto</t>
  </si>
  <si>
    <t>bordi contenimento vespaio</t>
  </si>
  <si>
    <t>plinto 150x150x100h cm</t>
  </si>
  <si>
    <t>casseforme per bordi contenimento vespaio</t>
  </si>
  <si>
    <t>plinti 70kg/mc di acciaio</t>
  </si>
  <si>
    <t>1C.05.500.0020.d</t>
  </si>
  <si>
    <t>Formazione di vespaio formato da un sottofondo di appoggio degli elementi in plastica dello spessore di cm 8 con calcestruzzo Rck = 15 N/mm³, posa degli elementi in plastica a perdere nelle varie altezze, getto di riempimento con calcestruzzo Rck 25 N/mm², fino a costituire una solettina superiore dello spessore minimo di 3 cm. Esclusa eventuale armatura in ferro e i bordi di contenimento se necessari. Comprese tutte le attività ed i materiali necessari a dare l'opera finita in ogni sua parte. - altezza elementi cm 50</t>
  </si>
  <si>
    <t>vespaio con igloo h=50cm</t>
  </si>
  <si>
    <t>1C.23.400.0030.i</t>
  </si>
  <si>
    <t>Lastre estruse in policarbonato monocamera, resistente ai raggi UV, spessore: - 16 mm, peso 2850 g/m², trasparente</t>
  </si>
  <si>
    <t>copertura in policarbonato</t>
  </si>
  <si>
    <t>1E.02.030.0140.f</t>
  </si>
  <si>
    <t>Coperchio per passerella portacavi in acciaio zincato, nelle seguenti larghezze: - 300 mm</t>
  </si>
  <si>
    <t>1U.04.160.0060.b</t>
  </si>
  <si>
    <t>Fornitura e posa in opera di chiusini quadrati, rettangolari, in ghisa sferoidale da parcheggio, classe C250, a norme UNI EN 124. Inclusa la movimentazione, la formazione del piano di posa con idonea malta anche a presa rapida, la posa del telaio e del relativo coperchio, gli sbarramenti e la segnaletica, e qualsiasi altra attività necessaria per il completamento dell'opera. Nei seguenti tipi: - luce 322 x 322 mm, altezza 80 mm, peso 27 kg</t>
  </si>
  <si>
    <t>1M.13.010.0010.d</t>
  </si>
  <si>
    <t>1M.13.030.0010.b</t>
  </si>
  <si>
    <t>Saracinesche in ghisa e ottone a corpo piatto a vite interna - PN10.
Corpo in ghisa, stelo in ottone, sedi di tenuta in ottone.
Cuneo in ottone per DN 40÷100, cuneo in ghisa e ottone per DN125÷300.
Tenuta sullo stelo tipo Baderna, guarnizioni in gomma SBR, volantino in ghisa.
Grandezze (DN: diametro nominale): - DN50</t>
  </si>
  <si>
    <t>0,02</t>
  </si>
  <si>
    <t>0,05</t>
  </si>
  <si>
    <t>0,13</t>
  </si>
  <si>
    <t>YA.1.E.03.02.02</t>
  </si>
  <si>
    <t>Opere di fondazione</t>
  </si>
  <si>
    <t>YA.1.E.03.02.03</t>
  </si>
  <si>
    <t>Strutture metalliche</t>
  </si>
  <si>
    <t>YA.1.E.03.03.01</t>
  </si>
  <si>
    <t>Pavimentazioni</t>
  </si>
  <si>
    <t>YA.1.E.03.03</t>
  </si>
  <si>
    <t>Finiture</t>
  </si>
  <si>
    <t>Pannellature termoisolanti e coperture</t>
  </si>
  <si>
    <t>YA.1.E.03.03.03</t>
  </si>
  <si>
    <t>Porte, Portoni ed infissi</t>
  </si>
  <si>
    <t>YA.1.E.03.03.02</t>
  </si>
  <si>
    <t>Sistemazioni esterne</t>
  </si>
  <si>
    <t>YA.1.E.03.04.01</t>
  </si>
  <si>
    <t>Impianto elettrico</t>
  </si>
  <si>
    <t>YA.1.E.03.04</t>
  </si>
  <si>
    <t>Impianti</t>
  </si>
  <si>
    <t>YA.1.E.03.04.02</t>
  </si>
  <si>
    <t>Impianto idrico sanitario</t>
  </si>
  <si>
    <t>YA.1.E.03.04.04</t>
  </si>
  <si>
    <t>Rete scarico acque bianche</t>
  </si>
  <si>
    <t>Rete scarico acque nere e grigie</t>
  </si>
  <si>
    <t>YA.1.E.03.05</t>
  </si>
  <si>
    <t>YA.1.E.03.05.01</t>
  </si>
  <si>
    <t>Rifacimento pavimentazione esterna sottopensilina</t>
  </si>
  <si>
    <t>m³</t>
  </si>
  <si>
    <t>t</t>
  </si>
  <si>
    <t>m</t>
  </si>
  <si>
    <r>
      <t>m</t>
    </r>
    <r>
      <rPr>
        <sz val="8"/>
        <rFont val="Calibri"/>
        <family val="2"/>
      </rPr>
      <t>²</t>
    </r>
  </si>
  <si>
    <r>
      <t>SOMMANO m</t>
    </r>
    <r>
      <rPr>
        <sz val="8"/>
        <rFont val="Calibri"/>
        <family val="2"/>
      </rPr>
      <t>²</t>
    </r>
  </si>
  <si>
    <t>kg</t>
  </si>
  <si>
    <t>m²</t>
  </si>
  <si>
    <t>cad</t>
  </si>
  <si>
    <t>YA.1.E.03.06</t>
  </si>
  <si>
    <t>Rinterro di scavi con mezzi meccanici con carico, trasporto e scarico al luogo d'impiego, spianamenti e costipazione a strati non superiori a 50 cm, bagnatura e ricarichi:</t>
  </si>
  <si>
    <t>DN65 x 3,2 mm</t>
  </si>
  <si>
    <t>1M.14.020.0010.g</t>
  </si>
  <si>
    <t>Impianto Idrico Antincendio</t>
  </si>
  <si>
    <t>1C.14.100.0010.a</t>
  </si>
  <si>
    <t>Pezzi speciali per canali di gronda e tubi pluviali, costruiti con fascette saldate, curve, controcurve, saltafascia e simili; in opera, comprese assistenze murarie in: lamiera zincata spess. 0.6 mm (peso = 4,71 kg/m²)</t>
  </si>
  <si>
    <t>scavo di sbancamento area di intervento, deposito bombole, disoleatore</t>
  </si>
  <si>
    <t>1C.04.150.0010.b</t>
  </si>
  <si>
    <t>Fondazioni armate in conglomerato cementizio (plinti, travi rovesce, platee), realizzate mediante getto, con l'ausilio di gru o qualsiasi altro mezzo di movimentazione, di calcestruzzo confezionato in impianto di betonaggio, con inerti ad assortimento granulometrico adeguato alla particolare destinazione del getto e diametro massimo degli stessi pari a 31,5 mm, compresa la vibratura, esclusi i casseri ed il ferro; resistenza: - Rck = 35 N/mm² - esposizione XC1 o XC2 - consistenza S3</t>
  </si>
  <si>
    <t>Acciaio tondo in barre nervate per cemento armato con
caratteristiche rispondenti alla norma UNI EN 10080 e prodotto con
sistemi di controllo di produzione in stabilimento di cui al
D.M.14/01/2008, in opera compresa lavorazione, posa, sfrido,
legature; qualità: - B450C</t>
  </si>
  <si>
    <t>1C.04.450.0010.a</t>
  </si>
  <si>
    <t>1E.03.030.0310.h</t>
  </si>
  <si>
    <t>1E.03.030.0410.p</t>
  </si>
  <si>
    <t>YA.1.E.03.04.03</t>
  </si>
  <si>
    <t>YA.1.E.03.06.01</t>
  </si>
  <si>
    <t>- con fornitura di mista naturale (tout-venant)</t>
  </si>
  <si>
    <t>P.A. 14</t>
  </si>
  <si>
    <t>P.A. 15</t>
  </si>
  <si>
    <t>P.A. 16</t>
  </si>
  <si>
    <t>colonne HEA 240 telai tipo 5</t>
  </si>
  <si>
    <t>travi IPE 300 telai tipo 5</t>
  </si>
  <si>
    <t>colonne HEA 240 telai tipo 4</t>
  </si>
  <si>
    <t>travi IPE 300 telai tipo 4</t>
  </si>
  <si>
    <t>Carpenteria metallica limitata a parti di edifici per travature per solai, coperture, ossature, rampe e ripiani scale, pensiline, balconi e simili, in opera imbullonata o saldata. Acciaio del tipo S235, S275 e S355.
Compresi i profilati di qualsiasi tipo, sezione e dimensione, piastre, squadre, tiranti, bulloni, fori, fissaggi; mano di antiruggine; trasporti e sollevamenti; opere di sostegno e protezione, esclusi oneri per demolizioni e ripristini di opere murarie. Per strutture formate da: - profilati laminati a caldo S275JR - UNI EN 10025, altezza da 240 a
600mm</t>
  </si>
  <si>
    <t>allineamenti longitudinali - telai tipo 1 - travi IPE 300</t>
  </si>
  <si>
    <t>travi IPE 240 telai tipo 5</t>
  </si>
  <si>
    <t>allineamenti longitudinali - telai tipo 2 - travi IPE 300 superiori</t>
  </si>
  <si>
    <t>allineamenti longitudinali - telai tipo 2 - travi IPE 300 inferiori</t>
  </si>
  <si>
    <t>allineamenti longitudinali - telai tipo 3 - travi IPE 300 inferiori</t>
  </si>
  <si>
    <t>allineamenti longitudinali - telai tipo 3 - travi IPE 240 superiori</t>
  </si>
  <si>
    <t>arcarecci - 200 x 100 x 4 - copertura da quota 5,78 a 5,30</t>
  </si>
  <si>
    <t>arcarecci - 200 x 100 x 4 - copertura da quota 7,42 a 6,35</t>
  </si>
  <si>
    <t>diagonali di controvento di falda 50 x 100 x 8</t>
  </si>
  <si>
    <t>strutture metalliche  già computate</t>
  </si>
  <si>
    <t>area manufatti rinvenuti</t>
  </si>
  <si>
    <t>area desoleatore</t>
  </si>
  <si>
    <t>area deposito bombole</t>
  </si>
  <si>
    <t>rilevati per realizzazione quote sottopavimento e per riempimenti sino alle quote di progetto</t>
  </si>
  <si>
    <t>Demolizione di muratura in blocchi di calcestruzzo, laterizi forati, totale o parziale, entro e fuori terra, a qualsiasi altezza, con relativi intonaci e rivestimenti, con l'impiego di attrezzature meccaniche adeguate alla dimensione della demolizione, compreso ogni intervento manuale, per tagli di murature, aperture vani porte e finestre, fori passanti, sottomurazioni e qualsiasi altro scopo. Compresa la movimentazione con qualsiasi mezzo manuale o meccanico nell'ambito del cantiere, il carico ed il trasporto alle discariche autorizzate. Esclusi gli oneri di smaltimento. Per ogni intervento con volume:</t>
  </si>
  <si>
    <t>1C.01.030.0010.b</t>
  </si>
  <si>
    <t>- da 0,501 a 5,01 m³</t>
  </si>
  <si>
    <t>P.A. 019</t>
  </si>
  <si>
    <t>- piastra  diam 600 mm, un ciclo di carico con 5 step di carico</t>
  </si>
  <si>
    <t>sottofondazione platea (magrone)</t>
  </si>
  <si>
    <t>baggioli colonne</t>
  </si>
  <si>
    <t>1C.04.370.0010</t>
  </si>
  <si>
    <t>Sovrapprezzo ai calcestruzzi in opera (da 1C.04.050 a 1C.04.300) per lo scarico di conglomerato cementizio preconfezionato effettuato con l'utilizzo di pompa, in aggiunta alla normale esecuzione del getto con l'ausilio di gru o altro mezzo di sollevamento</t>
  </si>
  <si>
    <t>casseforme contenimento platea fondazione</t>
  </si>
  <si>
    <t>armature platea fondazione</t>
  </si>
  <si>
    <t>armature baggioli in ragione di 150kg/mc di acciaio</t>
  </si>
  <si>
    <t>1C.05.500.0020.e</t>
  </si>
  <si>
    <t>Formazione di vespaio formato da un sottofondo di appoggio degli elementi in plastica dello spessore di cm 8 con calcestruzzo Rck = 15 N/mm³, posa degli elementi in plastica a perdere nelle varie altezze, getto di riempimento con calcestruzzo Rck 25 N/mm², fino a costituire una solettina superiore dello spessore minimo di 3 cm. Esclusa eventuale armatura in ferro e i bordi di contenimento se necessari. Comprese tutte le attività ed i materiali necessari a dare l'opera finita in ogni sua parte. - altezza elementi cm 60</t>
  </si>
  <si>
    <t>P.A. 021</t>
  </si>
  <si>
    <t>Realizzazione bauletto sopraelevazione aerazione vespaio sottopavimenti</t>
  </si>
  <si>
    <t>bauletto h fino a 50 cm</t>
  </si>
  <si>
    <t>vespaio con igloo h 50 / 60cm</t>
  </si>
  <si>
    <t>Quadro elettrico di distribuzione da parete in resina, verniciato grado di protezione IP55 doppio isolamento con porta di vetro fino a 160 A, preassemblato, completo di intelaiatura interna per il fissaggio delle apparecchiature elettriche modulari, pannelli di copertura delle apparecchiature, targhette identificatrici, targhetta da compilare per la certificazione CEI 23-51, accessori meccanici di fissaggio compreso morsetteria, in opera del tipo: - 600x800 mm</t>
  </si>
  <si>
    <t>Tubazioni in acciaio zincato senza saldatura filettate UNI 8863 serie leggera, complete di raccorderia, pezzi speciali, giunzioni con raccordi filettati o con raccordi scanalati tipo VICTAULIC, guarnizioni e staffaggi. I prezzi unitari includono maggiorazione sia per completamenti sopra indicati sia per sfridi, e devono essere applicati alla lunghezza misurata sull'asse. Diametri (DN: diametro nominale - sp.: spessore in mm):</t>
  </si>
  <si>
    <t>terreno di riempimento dello scavo fino alla quota d'imposta delle fondazioni</t>
  </si>
  <si>
    <t>Prova di carico su piastra per la determinazione del modulo di reazione K (modulo di Winkler) comprensivo di fornitura del contrasto, della relazione di elaborazione dei dati e di ogni attività occorrente</t>
  </si>
  <si>
    <t>platea di fondazione</t>
  </si>
  <si>
    <t>vespaio con igloo 40 / 50cm</t>
  </si>
  <si>
    <t>diagonali di controvento di falda 50 x 100 x 8 a quota 5.30 / 5.78</t>
  </si>
  <si>
    <t>nessuna variazione</t>
  </si>
  <si>
    <t>maglia di terra</t>
  </si>
  <si>
    <t>1E.01.020.0040</t>
  </si>
  <si>
    <t xml:space="preserve">Morsetto in ottone per dispersori tondi con collegamento a tondi 8-10 mm o sezione 95 mmq, diametro 20 mm </t>
  </si>
  <si>
    <t>1E.01.040.0170.n</t>
  </si>
  <si>
    <t>Treccia di massa in rame con due fori diam 9 mm, sezione: 35 mmq e interasse di fissaggio 150 mm</t>
  </si>
  <si>
    <t>1E.01.050.0030.d</t>
  </si>
  <si>
    <t xml:space="preserve">Scaricatore di sovratensione, modulare guida DIN provati in classe I, composto da sistema di varistori in ossido di zinco, con indicatore della funzionalità, utilizzabile in sistemi n corrente continua o alternata, estraibile senza interruzione dell'alimentazione, corrente nominale di scarica (8/20) 30 kA, tensione massima continuativa 275 V, zone di protezione LPZ 0-2, nelle tipologie: tetrapolare </t>
  </si>
  <si>
    <t>1E.06.020.03010.c</t>
  </si>
  <si>
    <t>1E.06.020.0010.f</t>
  </si>
  <si>
    <t>Lampada fluorescente linea a catodo caldo nei tipi: 58W elevata resa cromatica</t>
  </si>
  <si>
    <t>1E.02.060.0010.f</t>
  </si>
  <si>
    <t>Derivazione da incasso per impianti di energia realizzate con tubo protettivo flessibile o rigido in PVC ad alta resistenza allo schiacciamento, conduttori di alimentazione e di terra in rame isolato, scatole da incasso, frutti componibili, placche e supporti. Il tutto in opera incassato nel muro, compresa linea di collegamento allo specifico punto di alimentazione, fissaggio delle canalizzazioni a mezzo di tasselli o ganci, assistenza per il trasporto dei materiali al piano. punto luce comandato dal quadro elettrico, escluso l'organo di
comando sul quadro</t>
  </si>
  <si>
    <t>1E.02.060.0010.g</t>
  </si>
  <si>
    <t>punto luce in parallelo ad una qualsiasi derivazione</t>
  </si>
  <si>
    <t>1E.02.060.0050.a</t>
  </si>
  <si>
    <t>Derivazione per impianti di energia di tipo industriale eseguita a vista o parzialmente incassata, con tubazioni in materiale plastico o metalliche in relazione alle descrizioni di capitolato, per alimentazione apparecchi utilizzatori a tensione fino a 400 V. Grado di protezione IP55. Il tutto in opera comprese: linea di alimentazione allo specifico punto di alimentazione, sezionatore, fissaggio delle canalizzazioni a mezzo di tasselli o ganci, assistenza per il trasporto dei materiali al piano. alimentazione diretta di utilizzatore monofase con linea fino a 4 mmq</t>
  </si>
  <si>
    <t>collegamenti strutture metalliche e pavimentazioni</t>
  </si>
  <si>
    <t>quari sostituiti</t>
  </si>
  <si>
    <t>1E.03.070.0140.f</t>
  </si>
  <si>
    <t xml:space="preserve">Quadro elettrico di distribuzione da parete- pavimento in lamiera o resina, grado di protezione IP55, con porta in vetro da 400A fino a 630A preassemblato,completo di intelaiatura interna per fissaggio delle apparecchiature elettriche modulari, pannelli di copertura delle apparecchiature,targhette identificatrici,targhette per la certificazione CEI 23-51,accessori meccanici di fissaggio compresa morsettiera in opera del tipo: 600x1600 mm </t>
  </si>
  <si>
    <t>canale previsto</t>
  </si>
  <si>
    <t>canale necessario</t>
  </si>
  <si>
    <t>interruttori sostituiti</t>
  </si>
  <si>
    <t>1E.03.030.0370.o</t>
  </si>
  <si>
    <t>Blocco differenziale modulare componibile con interruttori magnetotermici, con certificato di prove e collaudo; involucro di materiale isolante modulare; adatto per il ontaggio su guida profilata, manovra indipendente con levette frontali per il riarmo e la segnalazione d'intervento per guasto a terra, classe AC istantanei, nelle tipologie:4P 63 A sensibilità 0,3 A</t>
  </si>
  <si>
    <t>differenziali previsti</t>
  </si>
  <si>
    <t>differenziali sostituiti</t>
  </si>
  <si>
    <t>previsti</t>
  </si>
  <si>
    <t>sostituiti</t>
  </si>
  <si>
    <t>1M.14.050.0060.j</t>
  </si>
  <si>
    <t>Tubazioni in pead per acqua potabile PE 100 UNI 10910 PN 25 - SDR 7,4, complete di raccorderia, pezzi speciali, giunzioni, guarnizioni e staffaggi. I prezzi unitari includono  maggiorazione sia per completamenti sopra indicati sia per sfridi, e devono essere applicati alla lunghezza misurata sull'asse. Diametri (De: diametro esterno x spessore, in mm): De125 x 17,1 mm</t>
  </si>
  <si>
    <t>tubazione rete acqua potabile</t>
  </si>
  <si>
    <t>tubazione rete acqua antincendio</t>
  </si>
  <si>
    <t>Pozzetto per contenimento valvola su rete per adduzione acqua sanitaria - interno box + spogliatoi</t>
  </si>
  <si>
    <t>pozzetti previsti</t>
  </si>
  <si>
    <t>chiusini previsti</t>
  </si>
  <si>
    <t>chiusini per contenimento valvola su rete per adduzione acqua sanitaria - interno box + spogliatoi</t>
  </si>
  <si>
    <t>valvole sostituite</t>
  </si>
  <si>
    <t>Valvole a sfera in ottone a passaggio totale - PN25 Attacchi filettati tipo gas F/F. Corpo in ottone, stelo in ottone, sfera in ottone, maniglia a leva in alluminio. Grandezze (DN: diametro nominale): - DN32</t>
  </si>
  <si>
    <t>saracinesche sostituite</t>
  </si>
  <si>
    <t>1M.13.150.0030.c</t>
  </si>
  <si>
    <t>Saracinesche in bronzo, Grandezze (DN: diametro nominale): DN32 - Approvato UL/FM.</t>
  </si>
  <si>
    <t>1M.13.150.0030.e</t>
  </si>
  <si>
    <t>Saracinesche in bronzo, Grandezze (DN: diametro nominale): DN50 - Approvato UL/FM.</t>
  </si>
  <si>
    <t>1M.10.070.0010.j</t>
  </si>
  <si>
    <t xml:space="preserve">Sistemi terminali di distribuzione modulare, ciascuno composto da: valvole d'intercettazione generale e sfiato aria (se non previste in altri sistemi ev. abbinati); collettori di andata e ritorno in ottone tipo monoblocco a più derivazioni con eventuale by pass e staffe; valvole d'intercettazione per ciascuna derivazione (su andata predisposte per comando elettrotermico e su ritorno con pre-regolazione); raccordi e guarnizioni per allacciamento a tubi in acciaio o rame o plastica; cassetta in lamiera verniciata da incasso a filo muro ventilata con portello, serratura e chiave (eventualmente unita a quella di altri sistemi abbinati); n° derivazioni: derivazioni 12 + 12 </t>
  </si>
  <si>
    <t>tubazioni sostituite</t>
  </si>
  <si>
    <t>1M.14.050.0020.e</t>
  </si>
  <si>
    <t>Tubazioni in pead per acqua potabile PE 80 UNI 10910 PN 12,5 - SDR 11, complete di raccorderia, pezzi speciali, giunzioni, guarnizioni e staffaggi. I prezzi unitari includono maggiorazione sia per completamenti sopra indicati sia per sfridi, e devono essere applicati alla lunghezza misurata sull'asse. Diametri (De: diametro esterno x spessore, in  m): De75 x 6,8 mm</t>
  </si>
  <si>
    <t>1M.13.140.0030.g</t>
  </si>
  <si>
    <t>Giunti antivibranti in gomma, attacchi flangiati - PN16 Corpo: EPDM, anima in acciaio, bulloni in acciaio. Grandezze (DN: diametro nominale): DN125</t>
  </si>
  <si>
    <t>1M.12.020.0040.k</t>
  </si>
  <si>
    <t xml:space="preserve">completamento: piantana in acciaio inox per cassetta antincendio a  servizio idrante soprasuolo in ghisa UNI 9485 con scarico automatico antigelo </t>
  </si>
  <si>
    <t>1M.16.090.0010.b</t>
  </si>
  <si>
    <t>Aumenti di prezzo per finiture a coibentazioni per tubazioni. Gli aumenti di prezzo includono una maggiorazione per: forme speciali (valvolame e apparecchiature da  omputare a parte), sigillatura giunti a tenuta d'acqua per tubazioni ubicate all'esterno, materiali di fissaggio, accessori vari di montaggio e sfridi. Tipi di finiture: lamierino in alluminio 6/10</t>
  </si>
  <si>
    <t>totale scontato (51%)</t>
  </si>
  <si>
    <t>P.A: 23</t>
  </si>
  <si>
    <t>maglia di terra con collegamento a edifici limitrofi</t>
  </si>
  <si>
    <t>scaricatori ad integrazione del sistema di protezioni</t>
  </si>
  <si>
    <t>lampade ad integrazione dei corpi illuminanti</t>
  </si>
  <si>
    <t>parti di impianto ad integrazione</t>
  </si>
  <si>
    <t>quari sostituiti di maggiori dimensioni</t>
  </si>
  <si>
    <t>Interruttore differenziale senza sganciatori magnetotermici (puri) modulare, con certificato di prove e collaudo; involucro di materiale isolante modulare; adatto per il montaggio su guida profilata, manovra indipendente con levette frontali per il riarmo e la segnalazione d'intervento per guasto a terra, classe AC istantanei, nelle tipologie: 4P 63 A sensibilità 0,03 A</t>
  </si>
  <si>
    <t>Interruttore magnetotermico differenziale modulare monoblocco con certificato di prove e collaudo; involucro di materiale isolante con modulo 17,5 per ogni polo attivo; adatto per il montaggio su guida profilata, manovra indipendente con levette frontali per il riarmo e la segnalazione d'intervento per guasto a terra, potere d'interruzione non inferiore a 6 kA a cos fi = 0,7 curva d'intervento C, corrente differenziale classe A, manovra e tasto di prova senza dispositivo di
esclusione, nelle tipologie: 4P 6÷32 A sensibilità 0,3 A</t>
  </si>
  <si>
    <t>Canale in robusta lamiera d'acciaio verniciata a forno su trattamento anticorrosivo, sezione a "C", completa di accessori di ontaggio e fissaggio. Grado di protezione IP4X con coperchio (non incluso). Nelle dimensioni:  - 300 x100 mm</t>
  </si>
  <si>
    <t>Lampada fluorescente linea a catodo caldo nei tipi: 18W elevata resa cromatica</t>
  </si>
  <si>
    <t>casseforme baggioli</t>
  </si>
  <si>
    <t>scavo di sbancamento area fondazione a platea</t>
  </si>
  <si>
    <t>rullato di livellamento dello scavo fino alla quota d'imposta del magro sotto alla platea di fondazione</t>
  </si>
  <si>
    <t>1U.04.010.0030.a</t>
  </si>
  <si>
    <t>Demolizione di massicciata stradale, con mezzi meccanici, compresa movimentazione, carico e trasporto delle macerie a discarica e/o a stoccaggio in sede stradale</t>
  </si>
  <si>
    <t>1U.04.020.0250</t>
  </si>
  <si>
    <t>Rimozione cordoni in conglomerato cementizio e del relativo rinfianco in calcestruzzo, compresa movimentazione carico e trasporto delle macerie a discarica e/o a stoccaggio; opere di protezione e segnaletica; in orario normale:</t>
  </si>
  <si>
    <t>perimetro aree verdi</t>
  </si>
  <si>
    <t>area manufatti rinvenuti (ex macello sotto fondoscavo)</t>
  </si>
  <si>
    <t>a dedurre demolizione massicciata stradale</t>
  </si>
  <si>
    <t>casseforme contenimento getto igloo (bordo vespaio)</t>
  </si>
  <si>
    <t>getto perimetro igloo (bordo vespaio)</t>
  </si>
  <si>
    <t>1C.04.350.0030.a</t>
  </si>
  <si>
    <t>sovraprezzo alle opere in conglomerato cementizio per impiego di calcestruzzo preconfezionato di tipo diverso rispetto al tipo S3 consideratro nei prezzi precedenti: classe di consistenza S4, fluido</t>
  </si>
  <si>
    <t>Rinterro di scavi con mezzi meccanici con carico, trasporto e scarico al luogo d'impiego, spianamenti e costipazione a strati non superiori a 50 cm, bagnatura e ricarichi: con materiali per rilevati stradali provenienti anche da demolizioni, del tipo MC.01.050.0050</t>
  </si>
  <si>
    <t>1C.02.350.0010.f</t>
  </si>
  <si>
    <t>Rinterro di scavi con mezzi meccanici con carico, trasporto e scarico al luogo d'impiego, spianamenti e costipazione a strati non superiori a 50 cm, bagnatura e ricarichi: con fornitura di mista naturale (tout-venant)</t>
  </si>
  <si>
    <t xml:space="preserve">Riferimento prezziario Comune di Milano edizione 2011 / 2013 </t>
  </si>
  <si>
    <t>A.01.04.032 (CCIAA Milano)</t>
  </si>
  <si>
    <t>A.01.04.031 a)
(CCIAA Milano)</t>
  </si>
  <si>
    <t>A.01.04.032 b)
(CCIAA Milano)</t>
  </si>
  <si>
    <t>A.01.04.032 a)
(CCIAA Milano)</t>
  </si>
  <si>
    <t>tributo speciale per conferimento in discarica dei rifiuti solidi cd. "Ecotassa"
rifiuti speciali non pericolosi confgeriti in discarica per rifiuti inerti</t>
  </si>
  <si>
    <t>tributo speciale per conferimento in discarica dei rifiuti solidi cd. "Ecotassa" rifiuti speciali non pericolosi conferiti in discarica per rifiuti non pericolosi</t>
  </si>
  <si>
    <t>A.01.04.031 b)
(CCIAA Milano)</t>
  </si>
  <si>
    <t>Smaltimenti a discarica e oneri connessi</t>
  </si>
  <si>
    <t>A.01.04.033 a)
(CCIAA Milano)</t>
  </si>
  <si>
    <t>piastre base colonne</t>
  </si>
  <si>
    <t>tirafondi</t>
  </si>
  <si>
    <t>zincatura (3%)</t>
  </si>
  <si>
    <t>travi IPE 240 longitudinali grigliato centrale copertura</t>
  </si>
  <si>
    <t>bulloneria e piastrame (6,5%)</t>
  </si>
  <si>
    <t>1C.22.040.0020.a</t>
  </si>
  <si>
    <t>Parapetto di scale, ballatoi, balconi, terrazze e simili; con profilati normali tondi, quadri, piatti, angolari a disegno semplice. Compresa una mano di antiruggine, le assistenze per lo scarico, il deposito, il sollevamento a piè d'opera, la posa da fabbro e muraria, i fissaggi, gli accessori d'uso. (peso medio indicativo 25 kg/m²): - per balconi</t>
  </si>
  <si>
    <t>parapetti 10kg/mq</t>
  </si>
  <si>
    <t>0,08</t>
  </si>
  <si>
    <t>1C.22.100.0010.a</t>
  </si>
  <si>
    <t>Zincatura di carpenteria metallica: - a caldo</t>
  </si>
  <si>
    <t>parapetti 20kg/mq</t>
  </si>
  <si>
    <t>quantità di cui alla voce precendente</t>
  </si>
  <si>
    <t>perdita di materiale per affondamento 20%</t>
  </si>
  <si>
    <t>27</t>
  </si>
  <si>
    <t>28</t>
  </si>
  <si>
    <t>Realizzazione di copertura piana con lastre estruse in policarbonato pluricamera, profilo grecato, resistente ai raggi UV, idoneo alle portate previste per la copertura sulle luci previste, trasparente</t>
  </si>
  <si>
    <r>
      <t xml:space="preserve">terre e rocce da scavo non contaminate, cioè conformi alla caratterizzazione e al test di cessione tabella 2 per conferimenti in discarica di rifiuti inerti 
terreno normale - </t>
    </r>
    <r>
      <rPr>
        <b/>
        <sz val="8"/>
        <rFont val="Tahoma"/>
        <family val="2"/>
      </rPr>
      <t>CER 17.05.04 tabella B</t>
    </r>
  </si>
  <si>
    <r>
      <t xml:space="preserve">smaltimento rifiuti a discarica autorizzata
miscele bituminose diverse da quelle di cui alla voce 17 03 01
conglomerato bituminoso piazzali </t>
    </r>
    <r>
      <rPr>
        <b/>
        <sz val="8"/>
        <rFont val="Tahoma"/>
        <family val="2"/>
      </rPr>
      <t>CER 17.03.02</t>
    </r>
  </si>
  <si>
    <r>
      <t xml:space="preserve">terre e rocce da scavo non contaminate, cioè conformi alla caratterizzazione e al test di cessione tabella 2 per conferimenti in discarica di rifiuti non pericolosi
terreno non riciclabile - </t>
    </r>
    <r>
      <rPr>
        <b/>
        <sz val="8"/>
        <rFont val="Tahoma"/>
        <family val="2"/>
      </rPr>
      <t>CER 17.05.04 tabella B</t>
    </r>
  </si>
  <si>
    <r>
      <t xml:space="preserve">rifiuti misti dell'attività di costruzione e demolizione non contaminati cioè conformi alla caratterizzazione e al test di cessione tabella 2 per conferimenti in discarica di rifiuti inerti
calcestruzzo frantumato, mattoni ecc. </t>
    </r>
    <r>
      <rPr>
        <b/>
        <sz val="8"/>
        <rFont val="Tahoma"/>
        <family val="2"/>
      </rPr>
      <t>CER 17.01.07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</si>
</sst>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.######;"/>
    <numFmt numFmtId="165" formatCode="0.000"/>
    <numFmt numFmtId="166" formatCode="0.0000"/>
    <numFmt numFmtId="167" formatCode="#,##0.00_ ;[Red]\-#,##0.00\ "/>
    <numFmt numFmtId="168" formatCode="#,##0.000_ ;\-#,##0.000\ "/>
    <numFmt numFmtId="169" formatCode="0.00_ ;[Red]\-0.00\ "/>
  </numFmts>
  <fonts count="15" x14ac:knownFonts="1">
    <font>
      <sz val="8"/>
      <name val="Tahoma"/>
    </font>
    <font>
      <sz val="8"/>
      <name val="Tahoma"/>
      <family val="2"/>
    </font>
    <font>
      <b/>
      <sz val="8"/>
      <name val="Tahoma"/>
      <family val="2"/>
    </font>
    <font>
      <b/>
      <sz val="10"/>
      <color indexed="17"/>
      <name val="Tahoma"/>
      <family val="2"/>
    </font>
    <font>
      <sz val="10"/>
      <color indexed="17"/>
      <name val="Tahoma"/>
      <family val="2"/>
    </font>
    <font>
      <b/>
      <sz val="9"/>
      <color indexed="17"/>
      <name val="Tahoma"/>
      <family val="2"/>
    </font>
    <font>
      <sz val="6"/>
      <name val="Tahoma"/>
      <family val="2"/>
    </font>
    <font>
      <b/>
      <sz val="10"/>
      <name val="Tahoma"/>
      <family val="2"/>
    </font>
    <font>
      <b/>
      <sz val="12"/>
      <name val="Tahoma"/>
      <family val="2"/>
    </font>
    <font>
      <b/>
      <sz val="9"/>
      <name val="Tahoma"/>
      <family val="2"/>
    </font>
    <font>
      <sz val="8"/>
      <color indexed="17"/>
      <name val="Tahoma"/>
      <family val="2"/>
    </font>
    <font>
      <b/>
      <sz val="8"/>
      <color indexed="17"/>
      <name val="Tahoma"/>
      <family val="2"/>
    </font>
    <font>
      <sz val="8"/>
      <name val="Calibri"/>
      <family val="2"/>
    </font>
    <font>
      <sz val="10"/>
      <name val="Tahoma"/>
      <family val="2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/>
      <right/>
      <top style="double">
        <color indexed="57"/>
      </top>
      <bottom style="double">
        <color indexed="57"/>
      </bottom>
      <diagonal/>
    </border>
    <border>
      <left style="double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thin">
        <color indexed="57"/>
      </right>
      <top/>
      <bottom/>
      <diagonal/>
    </border>
    <border>
      <left style="thin">
        <color indexed="57"/>
      </left>
      <right style="double">
        <color indexed="57"/>
      </right>
      <top/>
      <bottom/>
      <diagonal/>
    </border>
    <border>
      <left style="thin">
        <color indexed="57"/>
      </left>
      <right/>
      <top style="double">
        <color indexed="57"/>
      </top>
      <bottom style="thin">
        <color indexed="57"/>
      </bottom>
      <diagonal/>
    </border>
    <border>
      <left/>
      <right/>
      <top style="double">
        <color indexed="57"/>
      </top>
      <bottom style="thin">
        <color indexed="57"/>
      </bottom>
      <diagonal/>
    </border>
    <border>
      <left/>
      <right style="thin">
        <color indexed="57"/>
      </right>
      <top style="double">
        <color indexed="57"/>
      </top>
      <bottom style="thin">
        <color indexed="57"/>
      </bottom>
      <diagonal/>
    </border>
    <border>
      <left style="double">
        <color indexed="57"/>
      </left>
      <right style="thin">
        <color indexed="57"/>
      </right>
      <top style="double">
        <color indexed="57"/>
      </top>
      <bottom/>
      <diagonal/>
    </border>
    <border>
      <left style="thin">
        <color indexed="57"/>
      </left>
      <right style="thin">
        <color indexed="57"/>
      </right>
      <top style="double">
        <color indexed="57"/>
      </top>
      <bottom/>
      <diagonal/>
    </border>
    <border>
      <left/>
      <right style="thin">
        <color indexed="57"/>
      </right>
      <top style="double">
        <color indexed="57"/>
      </top>
      <bottom/>
      <diagonal/>
    </border>
    <border>
      <left style="double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thin">
        <color indexed="57"/>
      </right>
      <top style="thin">
        <color indexed="57"/>
      </top>
      <bottom/>
      <diagonal/>
    </border>
    <border>
      <left/>
      <right/>
      <top style="double">
        <color indexed="57"/>
      </top>
      <bottom/>
      <diagonal/>
    </border>
    <border>
      <left style="double">
        <color indexed="57"/>
      </left>
      <right style="thin">
        <color indexed="64"/>
      </right>
      <top style="double">
        <color indexed="57"/>
      </top>
      <bottom style="double">
        <color indexed="57"/>
      </bottom>
      <diagonal/>
    </border>
    <border>
      <left style="thin">
        <color indexed="64"/>
      </left>
      <right style="thin">
        <color indexed="64"/>
      </right>
      <top style="double">
        <color indexed="57"/>
      </top>
      <bottom style="double">
        <color indexed="57"/>
      </bottom>
      <diagonal/>
    </border>
    <border>
      <left style="double">
        <color indexed="57"/>
      </left>
      <right/>
      <top style="double">
        <color indexed="57"/>
      </top>
      <bottom style="thin">
        <color indexed="57"/>
      </bottom>
      <diagonal/>
    </border>
    <border>
      <left/>
      <right style="double">
        <color indexed="57"/>
      </right>
      <top style="double">
        <color indexed="57"/>
      </top>
      <bottom style="thin">
        <color indexed="57"/>
      </bottom>
      <diagonal/>
    </border>
    <border>
      <left style="double">
        <color indexed="57"/>
      </left>
      <right/>
      <top style="thin">
        <color indexed="57"/>
      </top>
      <bottom style="thin">
        <color indexed="57"/>
      </bottom>
      <diagonal/>
    </border>
    <border>
      <left/>
      <right/>
      <top style="thin">
        <color indexed="57"/>
      </top>
      <bottom style="thin">
        <color indexed="57"/>
      </bottom>
      <diagonal/>
    </border>
    <border>
      <left/>
      <right style="double">
        <color indexed="57"/>
      </right>
      <top style="thin">
        <color indexed="57"/>
      </top>
      <bottom style="thin">
        <color indexed="57"/>
      </bottom>
      <diagonal/>
    </border>
    <border>
      <left style="double">
        <color indexed="57"/>
      </left>
      <right/>
      <top style="thin">
        <color indexed="57"/>
      </top>
      <bottom style="double">
        <color indexed="57"/>
      </bottom>
      <diagonal/>
    </border>
    <border>
      <left/>
      <right/>
      <top style="thin">
        <color indexed="57"/>
      </top>
      <bottom style="double">
        <color indexed="57"/>
      </bottom>
      <diagonal/>
    </border>
    <border>
      <left/>
      <right style="double">
        <color indexed="57"/>
      </right>
      <top style="thin">
        <color indexed="57"/>
      </top>
      <bottom style="double">
        <color indexed="57"/>
      </bottom>
      <diagonal/>
    </border>
    <border>
      <left style="double">
        <color indexed="57"/>
      </left>
      <right/>
      <top style="double">
        <color indexed="57"/>
      </top>
      <bottom style="double">
        <color indexed="57"/>
      </bottom>
      <diagonal/>
    </border>
    <border>
      <left/>
      <right style="double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 style="double">
        <color indexed="57"/>
      </right>
      <top style="double">
        <color indexed="57"/>
      </top>
      <bottom/>
      <diagonal/>
    </border>
    <border>
      <left style="thin">
        <color indexed="57"/>
      </left>
      <right style="double">
        <color indexed="57"/>
      </right>
      <top style="thin">
        <color indexed="57"/>
      </top>
      <bottom style="thin">
        <color indexed="57"/>
      </bottom>
      <diagonal/>
    </border>
    <border>
      <left style="thin">
        <color indexed="57"/>
      </left>
      <right style="double">
        <color indexed="57"/>
      </right>
      <top style="thin">
        <color indexed="57"/>
      </top>
      <bottom/>
      <diagonal/>
    </border>
    <border>
      <left style="thin">
        <color indexed="64"/>
      </left>
      <right style="double">
        <color indexed="57"/>
      </right>
      <top style="double">
        <color indexed="57"/>
      </top>
      <bottom style="double">
        <color indexed="57"/>
      </bottom>
      <diagonal/>
    </border>
    <border>
      <left style="thin">
        <color indexed="57"/>
      </left>
      <right/>
      <top/>
      <bottom/>
      <diagonal/>
    </border>
    <border>
      <left style="double">
        <color indexed="57"/>
      </left>
      <right/>
      <top style="double">
        <color indexed="57"/>
      </top>
      <bottom/>
      <diagonal/>
    </border>
    <border>
      <left style="double">
        <color indexed="57"/>
      </left>
      <right style="thin">
        <color indexed="57"/>
      </right>
      <top style="thin">
        <color indexed="57"/>
      </top>
      <bottom/>
      <diagonal/>
    </border>
    <border>
      <left style="double">
        <color indexed="57"/>
      </left>
      <right style="thin">
        <color indexed="57"/>
      </right>
      <top/>
      <bottom style="thin">
        <color indexed="57"/>
      </bottom>
      <diagonal/>
    </border>
    <border>
      <left style="thin">
        <color indexed="57"/>
      </left>
      <right style="thin">
        <color indexed="57"/>
      </right>
      <top/>
      <bottom style="thin">
        <color indexed="57"/>
      </bottom>
      <diagonal/>
    </border>
    <border>
      <left style="thin">
        <color indexed="57"/>
      </left>
      <right style="double">
        <color indexed="57"/>
      </right>
      <top/>
      <bottom style="thin">
        <color indexed="57"/>
      </bottom>
      <diagonal/>
    </border>
    <border>
      <left style="double">
        <color indexed="57"/>
      </left>
      <right style="thin">
        <color indexed="57"/>
      </right>
      <top/>
      <bottom style="double">
        <color indexed="57"/>
      </bottom>
      <diagonal/>
    </border>
    <border>
      <left style="thin">
        <color indexed="57"/>
      </left>
      <right style="thin">
        <color indexed="57"/>
      </right>
      <top/>
      <bottom style="double">
        <color indexed="57"/>
      </bottom>
      <diagonal/>
    </border>
    <border>
      <left style="thin">
        <color indexed="57"/>
      </left>
      <right style="double">
        <color indexed="57"/>
      </right>
      <top/>
      <bottom style="double">
        <color indexed="57"/>
      </bottom>
      <diagonal/>
    </border>
  </borders>
  <cellStyleXfs count="2">
    <xf numFmtId="0" fontId="0" fillId="0" borderId="0"/>
    <xf numFmtId="0" fontId="14" fillId="0" borderId="0"/>
  </cellStyleXfs>
  <cellXfs count="249">
    <xf numFmtId="0" fontId="0" fillId="0" borderId="0" xfId="0"/>
    <xf numFmtId="0" fontId="2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justify" vertical="top" wrapText="1"/>
    </xf>
    <xf numFmtId="2" fontId="0" fillId="0" borderId="0" xfId="0" applyNumberFormat="1" applyBorder="1"/>
    <xf numFmtId="49" fontId="0" fillId="0" borderId="0" xfId="0" applyNumberFormat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2" fontId="6" fillId="0" borderId="0" xfId="0" applyNumberFormat="1" applyFont="1" applyBorder="1"/>
    <xf numFmtId="49" fontId="0" fillId="0" borderId="0" xfId="0" applyNumberFormat="1" applyFill="1" applyBorder="1" applyAlignment="1">
      <alignment horizontal="left" vertical="top" wrapText="1"/>
    </xf>
    <xf numFmtId="2" fontId="0" fillId="0" borderId="0" xfId="0" applyNumberFormat="1" applyBorder="1" applyAlignment="1">
      <alignment horizontal="right" wrapText="1"/>
    </xf>
    <xf numFmtId="2" fontId="0" fillId="0" borderId="0" xfId="0" applyNumberFormat="1" applyBorder="1" applyAlignment="1">
      <alignment horizontal="center" wrapText="1"/>
    </xf>
    <xf numFmtId="2" fontId="9" fillId="0" borderId="0" xfId="0" applyNumberFormat="1" applyFont="1" applyBorder="1" applyAlignment="1">
      <alignment horizontal="right" wrapText="1"/>
    </xf>
    <xf numFmtId="2" fontId="9" fillId="0" borderId="0" xfId="0" applyNumberFormat="1" applyFont="1" applyBorder="1" applyAlignment="1">
      <alignment horizontal="center" wrapText="1"/>
    </xf>
    <xf numFmtId="2" fontId="9" fillId="0" borderId="0" xfId="0" applyNumberFormat="1" applyFont="1" applyFill="1" applyBorder="1"/>
    <xf numFmtId="49" fontId="9" fillId="0" borderId="0" xfId="0" applyNumberFormat="1" applyFont="1" applyFill="1" applyBorder="1"/>
    <xf numFmtId="164" fontId="9" fillId="0" borderId="0" xfId="0" applyNumberFormat="1" applyFont="1" applyBorder="1" applyAlignment="1">
      <alignment horizontal="justify" vertical="top" wrapText="1"/>
    </xf>
    <xf numFmtId="49" fontId="0" fillId="0" borderId="0" xfId="0" applyNumberFormat="1" applyFill="1" applyBorder="1"/>
    <xf numFmtId="2" fontId="0" fillId="0" borderId="0" xfId="0" applyNumberFormat="1" applyFill="1" applyBorder="1"/>
    <xf numFmtId="0" fontId="0" fillId="0" borderId="1" xfId="0" applyBorder="1" applyAlignment="1">
      <alignment horizontal="center"/>
    </xf>
    <xf numFmtId="0" fontId="0" fillId="0" borderId="1" xfId="0" applyBorder="1"/>
    <xf numFmtId="2" fontId="0" fillId="0" borderId="1" xfId="0" applyNumberFormat="1" applyBorder="1"/>
    <xf numFmtId="0" fontId="1" fillId="0" borderId="3" xfId="0" applyNumberFormat="1" applyFont="1" applyBorder="1" applyAlignment="1">
      <alignment horizontal="justify" vertical="top" wrapText="1"/>
    </xf>
    <xf numFmtId="2" fontId="1" fillId="0" borderId="3" xfId="0" applyNumberFormat="1" applyFont="1" applyFill="1" applyBorder="1" applyAlignment="1">
      <alignment horizontal="right" vertical="top" wrapText="1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2" fontId="10" fillId="0" borderId="9" xfId="0" applyNumberFormat="1" applyFont="1" applyBorder="1" applyAlignment="1">
      <alignment horizontal="center"/>
    </xf>
    <xf numFmtId="49" fontId="0" fillId="0" borderId="12" xfId="0" applyNumberFormat="1" applyFill="1" applyBorder="1" applyAlignment="1">
      <alignment horizontal="left" vertical="top" wrapText="1"/>
    </xf>
    <xf numFmtId="164" fontId="7" fillId="2" borderId="12" xfId="0" applyNumberFormat="1" applyFont="1" applyFill="1" applyBorder="1" applyAlignment="1">
      <alignment horizontal="justify" vertical="top" wrapText="1"/>
    </xf>
    <xf numFmtId="2" fontId="0" fillId="0" borderId="12" xfId="0" applyNumberFormat="1" applyBorder="1" applyAlignment="1">
      <alignment horizontal="right" wrapText="1"/>
    </xf>
    <xf numFmtId="2" fontId="0" fillId="0" borderId="12" xfId="0" applyNumberFormat="1" applyBorder="1" applyAlignment="1">
      <alignment horizontal="center" wrapText="1"/>
    </xf>
    <xf numFmtId="49" fontId="0" fillId="0" borderId="12" xfId="0" applyNumberFormat="1" applyFill="1" applyBorder="1" applyAlignment="1">
      <alignment horizontal="right" vertical="top" wrapText="1"/>
    </xf>
    <xf numFmtId="2" fontId="0" fillId="0" borderId="12" xfId="0" applyNumberFormat="1" applyFill="1" applyBorder="1" applyAlignment="1">
      <alignment horizontal="right" vertical="top" wrapText="1"/>
    </xf>
    <xf numFmtId="49" fontId="7" fillId="0" borderId="12" xfId="0" applyNumberFormat="1" applyFont="1" applyFill="1" applyBorder="1" applyAlignment="1">
      <alignment horizontal="left" vertical="top" wrapText="1"/>
    </xf>
    <xf numFmtId="164" fontId="8" fillId="2" borderId="12" xfId="0" applyNumberFormat="1" applyFont="1" applyFill="1" applyBorder="1" applyAlignment="1">
      <alignment horizontal="left" vertical="top" wrapText="1"/>
    </xf>
    <xf numFmtId="49" fontId="2" fillId="0" borderId="12" xfId="0" applyNumberFormat="1" applyFont="1" applyFill="1" applyBorder="1" applyAlignment="1">
      <alignment horizontal="left" vertical="top" wrapText="1"/>
    </xf>
    <xf numFmtId="164" fontId="7" fillId="0" borderId="12" xfId="0" applyNumberFormat="1" applyFont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center" vertical="top"/>
    </xf>
    <xf numFmtId="49" fontId="0" fillId="0" borderId="14" xfId="0" applyNumberFormat="1" applyFill="1" applyBorder="1" applyAlignment="1">
      <alignment horizontal="left" vertical="top" wrapText="1"/>
    </xf>
    <xf numFmtId="0" fontId="10" fillId="0" borderId="9" xfId="0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right" vertical="top" wrapText="1"/>
    </xf>
    <xf numFmtId="165" fontId="1" fillId="0" borderId="3" xfId="0" applyNumberFormat="1" applyFont="1" applyBorder="1" applyAlignment="1">
      <alignment horizontal="center" vertical="top" wrapText="1"/>
    </xf>
    <xf numFmtId="0" fontId="1" fillId="0" borderId="3" xfId="0" applyNumberFormat="1" applyFont="1" applyBorder="1" applyAlignment="1">
      <alignment horizontal="center" wrapText="1"/>
    </xf>
    <xf numFmtId="2" fontId="9" fillId="0" borderId="15" xfId="0" applyNumberFormat="1" applyFont="1" applyBorder="1" applyAlignment="1">
      <alignment horizontal="right" vertical="top" wrapText="1"/>
    </xf>
    <xf numFmtId="0" fontId="9" fillId="0" borderId="16" xfId="0" applyNumberFormat="1" applyFont="1" applyBorder="1" applyAlignment="1">
      <alignment horizontal="center" wrapText="1"/>
    </xf>
    <xf numFmtId="2" fontId="9" fillId="0" borderId="16" xfId="0" applyNumberFormat="1" applyFont="1" applyBorder="1" applyAlignment="1">
      <alignment horizontal="center" wrapText="1"/>
    </xf>
    <xf numFmtId="164" fontId="9" fillId="0" borderId="17" xfId="0" applyNumberFormat="1" applyFont="1" applyBorder="1" applyAlignment="1">
      <alignment horizontal="justify" vertical="top" wrapText="1"/>
    </xf>
    <xf numFmtId="164" fontId="9" fillId="0" borderId="6" xfId="0" applyNumberFormat="1" applyFont="1" applyBorder="1" applyAlignment="1">
      <alignment horizontal="justify" vertical="top" wrapText="1"/>
    </xf>
    <xf numFmtId="49" fontId="9" fillId="0" borderId="6" xfId="0" applyNumberFormat="1" applyFont="1" applyBorder="1" applyAlignment="1">
      <alignment horizontal="justify" vertical="top" wrapText="1"/>
    </xf>
    <xf numFmtId="164" fontId="9" fillId="0" borderId="19" xfId="0" applyNumberFormat="1" applyFont="1" applyBorder="1" applyAlignment="1">
      <alignment horizontal="justify" vertical="top" wrapText="1"/>
    </xf>
    <xf numFmtId="164" fontId="9" fillId="0" borderId="20" xfId="0" applyNumberFormat="1" applyFont="1" applyBorder="1" applyAlignment="1">
      <alignment horizontal="justify" vertical="top" wrapText="1"/>
    </xf>
    <xf numFmtId="49" fontId="9" fillId="0" borderId="20" xfId="0" applyNumberFormat="1" applyFont="1" applyBorder="1" applyAlignment="1">
      <alignment horizontal="justify" vertical="top" wrapText="1"/>
    </xf>
    <xf numFmtId="164" fontId="9" fillId="0" borderId="22" xfId="0" applyNumberFormat="1" applyFont="1" applyBorder="1" applyAlignment="1">
      <alignment horizontal="justify" vertical="top" wrapText="1"/>
    </xf>
    <xf numFmtId="164" fontId="9" fillId="0" borderId="23" xfId="0" applyNumberFormat="1" applyFont="1" applyBorder="1" applyAlignment="1">
      <alignment horizontal="justify" vertical="top" wrapText="1"/>
    </xf>
    <xf numFmtId="49" fontId="9" fillId="0" borderId="23" xfId="0" applyNumberFormat="1" applyFont="1" applyBorder="1" applyAlignment="1">
      <alignment horizontal="justify" vertical="top" wrapText="1"/>
    </xf>
    <xf numFmtId="164" fontId="7" fillId="0" borderId="13" xfId="0" applyNumberFormat="1" applyFont="1" applyBorder="1" applyAlignment="1">
      <alignment horizontal="justify" vertical="top" wrapText="1"/>
    </xf>
    <xf numFmtId="49" fontId="0" fillId="3" borderId="0" xfId="0" applyNumberFormat="1" applyFill="1" applyBorder="1"/>
    <xf numFmtId="0" fontId="0" fillId="3" borderId="0" xfId="0" applyFill="1" applyBorder="1"/>
    <xf numFmtId="0" fontId="0" fillId="3" borderId="26" xfId="0" applyFill="1" applyBorder="1"/>
    <xf numFmtId="0" fontId="10" fillId="3" borderId="27" xfId="0" applyFont="1" applyFill="1" applyBorder="1" applyAlignment="1">
      <alignment horizontal="center"/>
    </xf>
    <xf numFmtId="2" fontId="0" fillId="3" borderId="28" xfId="0" applyNumberFormat="1" applyFill="1" applyBorder="1" applyAlignment="1">
      <alignment horizontal="right" vertical="top" wrapText="1"/>
    </xf>
    <xf numFmtId="49" fontId="0" fillId="3" borderId="28" xfId="0" applyNumberFormat="1" applyFill="1" applyBorder="1" applyAlignment="1">
      <alignment horizontal="right" vertical="top" wrapText="1"/>
    </xf>
    <xf numFmtId="49" fontId="9" fillId="3" borderId="0" xfId="0" applyNumberFormat="1" applyFont="1" applyFill="1" applyBorder="1"/>
    <xf numFmtId="0" fontId="6" fillId="3" borderId="0" xfId="0" applyFont="1" applyFill="1" applyBorder="1"/>
    <xf numFmtId="165" fontId="1" fillId="0" borderId="3" xfId="0" applyNumberFormat="1" applyFont="1" applyFill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center" vertical="top" wrapText="1"/>
    </xf>
    <xf numFmtId="2" fontId="1" fillId="3" borderId="4" xfId="0" applyNumberFormat="1" applyFont="1" applyFill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center" wrapText="1"/>
    </xf>
    <xf numFmtId="0" fontId="1" fillId="0" borderId="0" xfId="0" applyFont="1" applyBorder="1"/>
    <xf numFmtId="49" fontId="1" fillId="0" borderId="3" xfId="0" applyNumberFormat="1" applyFont="1" applyFill="1" applyBorder="1" applyAlignment="1">
      <alignment horizontal="center" vertical="top"/>
    </xf>
    <xf numFmtId="2" fontId="1" fillId="0" borderId="3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left" vertical="top" wrapText="1"/>
    </xf>
    <xf numFmtId="164" fontId="7" fillId="0" borderId="3" xfId="0" applyNumberFormat="1" applyFont="1" applyBorder="1" applyAlignment="1">
      <alignment horizontal="justify" vertical="top" wrapText="1"/>
    </xf>
    <xf numFmtId="4" fontId="9" fillId="0" borderId="16" xfId="0" applyNumberFormat="1" applyFont="1" applyBorder="1" applyAlignment="1">
      <alignment horizontal="right" vertical="top" wrapText="1"/>
    </xf>
    <xf numFmtId="4" fontId="9" fillId="3" borderId="30" xfId="0" applyNumberFormat="1" applyFont="1" applyFill="1" applyBorder="1" applyAlignment="1">
      <alignment horizontal="right" vertical="top" wrapText="1"/>
    </xf>
    <xf numFmtId="4" fontId="9" fillId="0" borderId="0" xfId="0" applyNumberFormat="1" applyFont="1" applyFill="1" applyBorder="1" applyAlignment="1">
      <alignment horizontal="right" vertical="top" wrapText="1"/>
    </xf>
    <xf numFmtId="4" fontId="9" fillId="3" borderId="0" xfId="0" applyNumberFormat="1" applyFont="1" applyFill="1" applyBorder="1" applyAlignment="1">
      <alignment horizontal="right" vertical="top" wrapText="1"/>
    </xf>
    <xf numFmtId="4" fontId="9" fillId="0" borderId="0" xfId="0" applyNumberFormat="1" applyFont="1" applyFill="1" applyBorder="1"/>
    <xf numFmtId="4" fontId="9" fillId="3" borderId="0" xfId="0" applyNumberFormat="1" applyFont="1" applyFill="1" applyBorder="1"/>
    <xf numFmtId="2" fontId="2" fillId="3" borderId="28" xfId="0" applyNumberFormat="1" applyFont="1" applyFill="1" applyBorder="1" applyAlignment="1">
      <alignment horizontal="center" vertical="top" wrapText="1"/>
    </xf>
    <xf numFmtId="164" fontId="9" fillId="0" borderId="22" xfId="0" applyNumberFormat="1" applyFont="1" applyBorder="1" applyAlignment="1">
      <alignment horizontal="right" vertical="top" wrapText="1"/>
    </xf>
    <xf numFmtId="0" fontId="0" fillId="0" borderId="32" xfId="0" applyNumberFormat="1" applyBorder="1" applyAlignment="1">
      <alignment horizontal="justify" vertical="top" wrapText="1"/>
    </xf>
    <xf numFmtId="1" fontId="10" fillId="0" borderId="8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top" wrapText="1"/>
    </xf>
    <xf numFmtId="1" fontId="0" fillId="0" borderId="11" xfId="0" applyNumberFormat="1" applyFill="1" applyBorder="1" applyAlignment="1">
      <alignment horizontal="center" vertical="top"/>
    </xf>
    <xf numFmtId="1" fontId="1" fillId="0" borderId="2" xfId="0" applyNumberFormat="1" applyFont="1" applyFill="1" applyBorder="1" applyAlignment="1">
      <alignment horizontal="center" vertical="top"/>
    </xf>
    <xf numFmtId="1" fontId="1" fillId="0" borderId="2" xfId="0" applyNumberFormat="1" applyFont="1" applyFill="1" applyBorder="1" applyAlignment="1">
      <alignment horizontal="center" vertical="top" wrapText="1"/>
    </xf>
    <xf numFmtId="1" fontId="0" fillId="0" borderId="14" xfId="0" applyNumberFormat="1" applyFill="1" applyBorder="1" applyAlignment="1">
      <alignment horizontal="center" vertical="top"/>
    </xf>
    <xf numFmtId="1" fontId="0" fillId="0" borderId="0" xfId="0" applyNumberFormat="1" applyFill="1" applyBorder="1" applyAlignment="1">
      <alignment horizontal="center" vertical="top"/>
    </xf>
    <xf numFmtId="1" fontId="6" fillId="0" borderId="0" xfId="0" applyNumberFormat="1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1" fillId="0" borderId="3" xfId="0" applyNumberFormat="1" applyFont="1" applyFill="1" applyBorder="1" applyAlignment="1">
      <alignment horizontal="justify" vertical="top" wrapText="1"/>
    </xf>
    <xf numFmtId="2" fontId="1" fillId="0" borderId="3" xfId="0" applyNumberFormat="1" applyFont="1" applyFill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wrapText="1"/>
    </xf>
    <xf numFmtId="1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>
      <alignment horizontal="justify" vertical="center" wrapText="1"/>
    </xf>
    <xf numFmtId="0" fontId="1" fillId="0" borderId="3" xfId="0" applyNumberFormat="1" applyFont="1" applyBorder="1" applyAlignment="1">
      <alignment horizontal="justify" wrapText="1"/>
    </xf>
    <xf numFmtId="0" fontId="1" fillId="0" borderId="3" xfId="0" quotePrefix="1" applyNumberFormat="1" applyFont="1" applyBorder="1" applyAlignment="1">
      <alignment horizontal="justify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164" fontId="1" fillId="0" borderId="3" xfId="0" applyNumberFormat="1" applyFont="1" applyBorder="1" applyAlignment="1">
      <alignment horizontal="justify" vertical="top" wrapText="1"/>
    </xf>
    <xf numFmtId="1" fontId="1" fillId="0" borderId="11" xfId="0" applyNumberFormat="1" applyFont="1" applyFill="1" applyBorder="1" applyAlignment="1">
      <alignment horizontal="center" vertical="top"/>
    </xf>
    <xf numFmtId="49" fontId="1" fillId="0" borderId="12" xfId="0" applyNumberFormat="1" applyFont="1" applyFill="1" applyBorder="1" applyAlignment="1">
      <alignment horizontal="center" vertical="top"/>
    </xf>
    <xf numFmtId="49" fontId="1" fillId="0" borderId="12" xfId="0" applyNumberFormat="1" applyFont="1" applyFill="1" applyBorder="1" applyAlignment="1">
      <alignment horizontal="left" vertical="top" wrapText="1"/>
    </xf>
    <xf numFmtId="2" fontId="1" fillId="0" borderId="12" xfId="0" applyNumberFormat="1" applyFont="1" applyBorder="1" applyAlignment="1">
      <alignment horizontal="right" wrapText="1"/>
    </xf>
    <xf numFmtId="2" fontId="1" fillId="0" borderId="12" xfId="0" applyNumberFormat="1" applyFont="1" applyBorder="1" applyAlignment="1">
      <alignment horizontal="center" wrapText="1"/>
    </xf>
    <xf numFmtId="2" fontId="1" fillId="0" borderId="12" xfId="0" applyNumberFormat="1" applyFont="1" applyFill="1" applyBorder="1" applyAlignment="1">
      <alignment horizontal="center" vertical="center" wrapText="1"/>
    </xf>
    <xf numFmtId="49" fontId="1" fillId="0" borderId="12" xfId="0" applyNumberFormat="1" applyFont="1" applyFill="1" applyBorder="1" applyAlignment="1">
      <alignment horizontal="center" vertical="center" wrapText="1"/>
    </xf>
    <xf numFmtId="4" fontId="2" fillId="3" borderId="28" xfId="0" applyNumberFormat="1" applyFont="1" applyFill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wrapText="1"/>
    </xf>
    <xf numFmtId="2" fontId="1" fillId="0" borderId="12" xfId="0" applyNumberFormat="1" applyFont="1" applyFill="1" applyBorder="1" applyAlignment="1">
      <alignment horizontal="right" vertical="top" wrapText="1"/>
    </xf>
    <xf numFmtId="2" fontId="2" fillId="3" borderId="28" xfId="0" applyNumberFormat="1" applyFont="1" applyFill="1" applyBorder="1" applyAlignment="1">
      <alignment horizontal="right" vertical="top" wrapText="1"/>
    </xf>
    <xf numFmtId="49" fontId="1" fillId="0" borderId="12" xfId="0" applyNumberFormat="1" applyFont="1" applyFill="1" applyBorder="1" applyAlignment="1">
      <alignment horizontal="right" vertical="top" wrapText="1"/>
    </xf>
    <xf numFmtId="2" fontId="1" fillId="3" borderId="28" xfId="0" applyNumberFormat="1" applyFont="1" applyFill="1" applyBorder="1" applyAlignment="1">
      <alignment horizontal="right" vertical="top" wrapText="1"/>
    </xf>
    <xf numFmtId="2" fontId="1" fillId="0" borderId="3" xfId="0" applyNumberFormat="1" applyFont="1" applyFill="1" applyBorder="1" applyAlignment="1">
      <alignment horizontal="center" wrapText="1"/>
    </xf>
    <xf numFmtId="4" fontId="1" fillId="0" borderId="3" xfId="0" applyNumberFormat="1" applyFont="1" applyFill="1" applyBorder="1" applyAlignment="1">
      <alignment horizontal="right" wrapText="1"/>
    </xf>
    <xf numFmtId="2" fontId="1" fillId="0" borderId="4" xfId="0" applyNumberFormat="1" applyFont="1" applyFill="1" applyBorder="1" applyAlignment="1">
      <alignment horizontal="right" vertical="top" wrapText="1"/>
    </xf>
    <xf numFmtId="164" fontId="1" fillId="0" borderId="12" xfId="0" applyNumberFormat="1" applyFont="1" applyBorder="1" applyAlignment="1">
      <alignment horizontal="justify" vertical="top" wrapText="1"/>
    </xf>
    <xf numFmtId="2" fontId="1" fillId="0" borderId="12" xfId="0" applyNumberFormat="1" applyFont="1" applyBorder="1" applyAlignment="1">
      <alignment horizontal="right" vertical="top" wrapText="1"/>
    </xf>
    <xf numFmtId="49" fontId="1" fillId="0" borderId="2" xfId="0" applyNumberFormat="1" applyFont="1" applyFill="1" applyBorder="1" applyAlignment="1">
      <alignment horizontal="right" vertical="top"/>
    </xf>
    <xf numFmtId="49" fontId="1" fillId="3" borderId="28" xfId="0" applyNumberFormat="1" applyFont="1" applyFill="1" applyBorder="1" applyAlignment="1">
      <alignment horizontal="right" vertical="top" wrapText="1"/>
    </xf>
    <xf numFmtId="2" fontId="2" fillId="3" borderId="28" xfId="0" applyNumberFormat="1" applyFont="1" applyFill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justify" vertical="top" wrapText="1"/>
    </xf>
    <xf numFmtId="2" fontId="1" fillId="0" borderId="3" xfId="0" applyNumberFormat="1" applyFont="1" applyBorder="1" applyAlignment="1">
      <alignment horizontal="left" vertical="top" wrapText="1"/>
    </xf>
    <xf numFmtId="49" fontId="1" fillId="0" borderId="3" xfId="0" applyNumberFormat="1" applyFont="1" applyFill="1" applyBorder="1" applyAlignment="1">
      <alignment horizontal="right" vertical="top"/>
    </xf>
    <xf numFmtId="0" fontId="1" fillId="0" borderId="3" xfId="0" applyNumberFormat="1" applyFont="1" applyBorder="1" applyAlignment="1">
      <alignment horizontal="right" wrapText="1"/>
    </xf>
    <xf numFmtId="49" fontId="1" fillId="0" borderId="12" xfId="0" applyNumberFormat="1" applyFont="1" applyFill="1" applyBorder="1" applyAlignment="1">
      <alignment horizontal="right" vertical="top"/>
    </xf>
    <xf numFmtId="49" fontId="1" fillId="0" borderId="13" xfId="0" applyNumberFormat="1" applyFont="1" applyFill="1" applyBorder="1" applyAlignment="1">
      <alignment horizontal="right" vertical="top"/>
    </xf>
    <xf numFmtId="49" fontId="1" fillId="0" borderId="13" xfId="0" applyNumberFormat="1" applyFont="1" applyFill="1" applyBorder="1" applyAlignment="1">
      <alignment horizontal="left" vertical="top" wrapText="1"/>
    </xf>
    <xf numFmtId="2" fontId="1" fillId="0" borderId="13" xfId="0" applyNumberFormat="1" applyFont="1" applyBorder="1" applyAlignment="1">
      <alignment horizontal="right" wrapText="1"/>
    </xf>
    <xf numFmtId="2" fontId="1" fillId="0" borderId="13" xfId="0" applyNumberFormat="1" applyFont="1" applyBorder="1" applyAlignment="1">
      <alignment horizontal="center" wrapText="1"/>
    </xf>
    <xf numFmtId="2" fontId="1" fillId="0" borderId="13" xfId="0" applyNumberFormat="1" applyFont="1" applyFill="1" applyBorder="1" applyAlignment="1">
      <alignment horizontal="center" vertical="center" wrapText="1"/>
    </xf>
    <xf numFmtId="49" fontId="1" fillId="0" borderId="13" xfId="0" applyNumberFormat="1" applyFont="1" applyFill="1" applyBorder="1" applyAlignment="1">
      <alignment horizontal="center" vertical="center" wrapText="1"/>
    </xf>
    <xf numFmtId="2" fontId="2" fillId="3" borderId="29" xfId="0" applyNumberFormat="1" applyFont="1" applyFill="1" applyBorder="1" applyAlignment="1">
      <alignment horizontal="center" vertical="center" wrapText="1"/>
    </xf>
    <xf numFmtId="2" fontId="1" fillId="0" borderId="31" xfId="0" applyNumberFormat="1" applyFont="1" applyFill="1" applyBorder="1" applyAlignment="1">
      <alignment horizontal="right" vertical="top" wrapText="1"/>
    </xf>
    <xf numFmtId="166" fontId="1" fillId="0" borderId="3" xfId="0" applyNumberFormat="1" applyFont="1" applyBorder="1" applyAlignment="1">
      <alignment horizontal="right" vertical="top" wrapText="1"/>
    </xf>
    <xf numFmtId="4" fontId="1" fillId="0" borderId="12" xfId="0" applyNumberFormat="1" applyFont="1" applyFill="1" applyBorder="1" applyAlignment="1">
      <alignment horizontal="center" vertical="center" wrapText="1"/>
    </xf>
    <xf numFmtId="4" fontId="1" fillId="3" borderId="4" xfId="0" applyNumberFormat="1" applyFont="1" applyFill="1" applyBorder="1" applyAlignment="1">
      <alignment horizontal="right" wrapText="1"/>
    </xf>
    <xf numFmtId="167" fontId="0" fillId="0" borderId="1" xfId="0" applyNumberFormat="1" applyBorder="1"/>
    <xf numFmtId="167" fontId="10" fillId="0" borderId="9" xfId="0" applyNumberFormat="1" applyFont="1" applyBorder="1" applyAlignment="1">
      <alignment horizontal="center"/>
    </xf>
    <xf numFmtId="167" fontId="0" fillId="0" borderId="12" xfId="0" applyNumberFormat="1" applyBorder="1" applyAlignment="1">
      <alignment horizontal="right" wrapText="1"/>
    </xf>
    <xf numFmtId="167" fontId="1" fillId="0" borderId="3" xfId="0" applyNumberFormat="1" applyFont="1" applyBorder="1" applyAlignment="1">
      <alignment horizontal="right" vertical="top" wrapText="1"/>
    </xf>
    <xf numFmtId="167" fontId="1" fillId="0" borderId="3" xfId="0" applyNumberFormat="1" applyFont="1" applyFill="1" applyBorder="1" applyAlignment="1">
      <alignment horizontal="right" vertical="top" wrapText="1"/>
    </xf>
    <xf numFmtId="167" fontId="1" fillId="0" borderId="3" xfId="0" applyNumberFormat="1" applyFont="1" applyBorder="1" applyAlignment="1">
      <alignment horizontal="right" wrapText="1"/>
    </xf>
    <xf numFmtId="167" fontId="1" fillId="0" borderId="12" xfId="0" applyNumberFormat="1" applyFont="1" applyBorder="1" applyAlignment="1">
      <alignment horizontal="right" wrapText="1"/>
    </xf>
    <xf numFmtId="167" fontId="1" fillId="0" borderId="13" xfId="0" applyNumberFormat="1" applyFont="1" applyBorder="1" applyAlignment="1">
      <alignment horizontal="right" wrapText="1"/>
    </xf>
    <xf numFmtId="167" fontId="9" fillId="0" borderId="16" xfId="0" applyNumberFormat="1" applyFont="1" applyBorder="1" applyAlignment="1">
      <alignment horizontal="right" wrapText="1"/>
    </xf>
    <xf numFmtId="167" fontId="9" fillId="0" borderId="0" xfId="0" applyNumberFormat="1" applyFont="1" applyBorder="1" applyAlignment="1">
      <alignment horizontal="right" wrapText="1"/>
    </xf>
    <xf numFmtId="167" fontId="9" fillId="0" borderId="0" xfId="0" applyNumberFormat="1" applyFont="1" applyBorder="1" applyAlignment="1">
      <alignment horizontal="justify" vertical="top" wrapText="1"/>
    </xf>
    <xf numFmtId="167" fontId="9" fillId="0" borderId="6" xfId="0" applyNumberFormat="1" applyFont="1" applyBorder="1" applyAlignment="1">
      <alignment horizontal="justify" vertical="top" wrapText="1"/>
    </xf>
    <xf numFmtId="167" fontId="9" fillId="0" borderId="20" xfId="0" applyNumberFormat="1" applyFont="1" applyBorder="1" applyAlignment="1">
      <alignment horizontal="justify" vertical="top" wrapText="1"/>
    </xf>
    <xf numFmtId="167" fontId="9" fillId="0" borderId="23" xfId="0" applyNumberFormat="1" applyFont="1" applyBorder="1" applyAlignment="1">
      <alignment horizontal="justify" vertical="top" wrapText="1"/>
    </xf>
    <xf numFmtId="167" fontId="0" fillId="0" borderId="0" xfId="0" applyNumberFormat="1" applyBorder="1" applyAlignment="1">
      <alignment horizontal="right" wrapText="1"/>
    </xf>
    <xf numFmtId="167" fontId="0" fillId="0" borderId="0" xfId="0" applyNumberFormat="1" applyBorder="1"/>
    <xf numFmtId="167" fontId="0" fillId="3" borderId="1" xfId="0" applyNumberFormat="1" applyFill="1" applyBorder="1"/>
    <xf numFmtId="167" fontId="10" fillId="3" borderId="9" xfId="0" applyNumberFormat="1" applyFont="1" applyFill="1" applyBorder="1" applyAlignment="1">
      <alignment horizontal="center"/>
    </xf>
    <xf numFmtId="167" fontId="0" fillId="3" borderId="12" xfId="0" applyNumberFormat="1" applyFill="1" applyBorder="1" applyAlignment="1">
      <alignment horizontal="center" wrapText="1"/>
    </xf>
    <xf numFmtId="167" fontId="1" fillId="3" borderId="3" xfId="0" applyNumberFormat="1" applyFont="1" applyFill="1" applyBorder="1" applyAlignment="1">
      <alignment horizontal="right" vertical="top" wrapText="1"/>
    </xf>
    <xf numFmtId="167" fontId="1" fillId="3" borderId="3" xfId="0" applyNumberFormat="1" applyFont="1" applyFill="1" applyBorder="1" applyAlignment="1">
      <alignment horizontal="right" wrapText="1"/>
    </xf>
    <xf numFmtId="167" fontId="1" fillId="3" borderId="12" xfId="0" applyNumberFormat="1" applyFont="1" applyFill="1" applyBorder="1" applyAlignment="1">
      <alignment horizontal="center" wrapText="1"/>
    </xf>
    <xf numFmtId="167" fontId="1" fillId="3" borderId="12" xfId="0" applyNumberFormat="1" applyFont="1" applyFill="1" applyBorder="1" applyAlignment="1">
      <alignment horizontal="right" wrapText="1"/>
    </xf>
    <xf numFmtId="167" fontId="1" fillId="0" borderId="3" xfId="0" applyNumberFormat="1" applyFont="1" applyFill="1" applyBorder="1" applyAlignment="1">
      <alignment horizontal="right" wrapText="1"/>
    </xf>
    <xf numFmtId="167" fontId="1" fillId="3" borderId="3" xfId="0" applyNumberFormat="1" applyFont="1" applyFill="1" applyBorder="1" applyAlignment="1">
      <alignment horizontal="center" wrapText="1"/>
    </xf>
    <xf numFmtId="167" fontId="1" fillId="3" borderId="13" xfId="0" applyNumberFormat="1" applyFont="1" applyFill="1" applyBorder="1" applyAlignment="1">
      <alignment horizontal="center" wrapText="1"/>
    </xf>
    <xf numFmtId="167" fontId="9" fillId="3" borderId="16" xfId="0" applyNumberFormat="1" applyFont="1" applyFill="1" applyBorder="1" applyAlignment="1">
      <alignment horizontal="right" vertical="top" wrapText="1"/>
    </xf>
    <xf numFmtId="167" fontId="9" fillId="3" borderId="0" xfId="0" applyNumberFormat="1" applyFont="1" applyFill="1" applyBorder="1" applyAlignment="1">
      <alignment horizontal="center" wrapText="1"/>
    </xf>
    <xf numFmtId="167" fontId="9" fillId="3" borderId="0" xfId="0" applyNumberFormat="1" applyFont="1" applyFill="1" applyBorder="1" applyAlignment="1">
      <alignment horizontal="justify" vertical="top" wrapText="1"/>
    </xf>
    <xf numFmtId="167" fontId="9" fillId="3" borderId="6" xfId="0" applyNumberFormat="1" applyFont="1" applyFill="1" applyBorder="1" applyAlignment="1">
      <alignment horizontal="right" vertical="top" wrapText="1"/>
    </xf>
    <xf numFmtId="167" fontId="9" fillId="3" borderId="20" xfId="0" applyNumberFormat="1" applyFont="1" applyFill="1" applyBorder="1" applyAlignment="1">
      <alignment horizontal="right" vertical="top" wrapText="1"/>
    </xf>
    <xf numFmtId="167" fontId="9" fillId="3" borderId="23" xfId="0" applyNumberFormat="1" applyFont="1" applyFill="1" applyBorder="1" applyAlignment="1">
      <alignment horizontal="right" vertical="top" wrapText="1"/>
    </xf>
    <xf numFmtId="167" fontId="0" fillId="3" borderId="0" xfId="0" applyNumberFormat="1" applyFill="1" applyBorder="1"/>
    <xf numFmtId="167" fontId="0" fillId="0" borderId="12" xfId="0" applyNumberFormat="1" applyFill="1" applyBorder="1" applyAlignment="1">
      <alignment horizontal="right" vertical="top" wrapText="1"/>
    </xf>
    <xf numFmtId="167" fontId="2" fillId="0" borderId="12" xfId="0" applyNumberFormat="1" applyFont="1" applyFill="1" applyBorder="1" applyAlignment="1">
      <alignment horizontal="center" vertical="center" wrapText="1"/>
    </xf>
    <xf numFmtId="167" fontId="1" fillId="0" borderId="12" xfId="0" applyNumberFormat="1" applyFont="1" applyFill="1" applyBorder="1" applyAlignment="1">
      <alignment horizontal="right" vertical="top" wrapText="1"/>
    </xf>
    <xf numFmtId="167" fontId="2" fillId="0" borderId="13" xfId="0" applyNumberFormat="1" applyFont="1" applyFill="1" applyBorder="1" applyAlignment="1">
      <alignment horizontal="center" vertical="center" wrapText="1"/>
    </xf>
    <xf numFmtId="167" fontId="9" fillId="0" borderId="16" xfId="0" applyNumberFormat="1" applyFont="1" applyBorder="1" applyAlignment="1">
      <alignment horizontal="right" vertical="top" wrapText="1"/>
    </xf>
    <xf numFmtId="167" fontId="9" fillId="0" borderId="0" xfId="0" applyNumberFormat="1" applyFont="1" applyBorder="1" applyAlignment="1">
      <alignment horizontal="center" wrapText="1"/>
    </xf>
    <xf numFmtId="167" fontId="9" fillId="0" borderId="18" xfId="0" applyNumberFormat="1" applyFont="1" applyBorder="1" applyAlignment="1">
      <alignment horizontal="right" vertical="top" wrapText="1"/>
    </xf>
    <xf numFmtId="167" fontId="9" fillId="0" borderId="21" xfId="0" applyNumberFormat="1" applyFont="1" applyBorder="1" applyAlignment="1">
      <alignment horizontal="right" vertical="top" wrapText="1"/>
    </xf>
    <xf numFmtId="167" fontId="9" fillId="0" borderId="24" xfId="0" applyNumberFormat="1" applyFont="1" applyBorder="1" applyAlignment="1">
      <alignment horizontal="right" vertical="top" wrapText="1"/>
    </xf>
    <xf numFmtId="167" fontId="0" fillId="0" borderId="18" xfId="0" applyNumberFormat="1" applyFill="1" applyBorder="1"/>
    <xf numFmtId="1" fontId="0" fillId="0" borderId="34" xfId="0" applyNumberFormat="1" applyFill="1" applyBorder="1" applyAlignment="1">
      <alignment horizontal="center" vertical="top"/>
    </xf>
    <xf numFmtId="49" fontId="7" fillId="0" borderId="35" xfId="0" applyNumberFormat="1" applyFont="1" applyFill="1" applyBorder="1" applyAlignment="1">
      <alignment horizontal="center" vertical="top" wrapText="1"/>
    </xf>
    <xf numFmtId="49" fontId="3" fillId="0" borderId="35" xfId="0" applyNumberFormat="1" applyFont="1" applyFill="1" applyBorder="1" applyAlignment="1">
      <alignment horizontal="left" vertical="top" wrapText="1"/>
    </xf>
    <xf numFmtId="164" fontId="8" fillId="2" borderId="35" xfId="0" applyNumberFormat="1" applyFont="1" applyFill="1" applyBorder="1" applyAlignment="1">
      <alignment horizontal="justify" vertical="top" wrapText="1"/>
    </xf>
    <xf numFmtId="2" fontId="3" fillId="2" borderId="35" xfId="0" applyNumberFormat="1" applyFont="1" applyFill="1" applyBorder="1" applyAlignment="1">
      <alignment horizontal="right" wrapText="1"/>
    </xf>
    <xf numFmtId="167" fontId="3" fillId="2" borderId="35" xfId="0" applyNumberFormat="1" applyFont="1" applyFill="1" applyBorder="1" applyAlignment="1">
      <alignment horizontal="right" wrapText="1"/>
    </xf>
    <xf numFmtId="2" fontId="4" fillId="2" borderId="35" xfId="0" applyNumberFormat="1" applyFont="1" applyFill="1" applyBorder="1" applyAlignment="1">
      <alignment horizontal="center" wrapText="1"/>
    </xf>
    <xf numFmtId="167" fontId="4" fillId="3" borderId="35" xfId="0" applyNumberFormat="1" applyFont="1" applyFill="1" applyBorder="1" applyAlignment="1">
      <alignment horizontal="center" wrapText="1"/>
    </xf>
    <xf numFmtId="167" fontId="4" fillId="0" borderId="35" xfId="0" applyNumberFormat="1" applyFont="1" applyFill="1" applyBorder="1" applyAlignment="1">
      <alignment horizontal="center" vertical="center" wrapText="1"/>
    </xf>
    <xf numFmtId="2" fontId="4" fillId="0" borderId="35" xfId="0" applyNumberFormat="1" applyFont="1" applyFill="1" applyBorder="1" applyAlignment="1">
      <alignment vertical="center" wrapText="1"/>
    </xf>
    <xf numFmtId="2" fontId="4" fillId="0" borderId="35" xfId="0" applyNumberFormat="1" applyFont="1" applyFill="1" applyBorder="1" applyAlignment="1">
      <alignment horizontal="center" vertical="center" wrapText="1"/>
    </xf>
    <xf numFmtId="2" fontId="4" fillId="3" borderId="36" xfId="0" applyNumberFormat="1" applyFont="1" applyFill="1" applyBorder="1" applyAlignment="1">
      <alignment horizontal="center" vertical="center" wrapText="1"/>
    </xf>
    <xf numFmtId="1" fontId="1" fillId="0" borderId="37" xfId="0" applyNumberFormat="1" applyFont="1" applyBorder="1" applyAlignment="1">
      <alignment horizontal="center" vertical="top" wrapText="1"/>
    </xf>
    <xf numFmtId="49" fontId="11" fillId="2" borderId="38" xfId="0" applyNumberFormat="1" applyFont="1" applyFill="1" applyBorder="1" applyAlignment="1">
      <alignment horizontal="center" vertical="center" wrapText="1"/>
    </xf>
    <xf numFmtId="0" fontId="11" fillId="2" borderId="38" xfId="0" applyNumberFormat="1" applyFont="1" applyFill="1" applyBorder="1" applyAlignment="1">
      <alignment horizontal="center" vertical="center" wrapText="1"/>
    </xf>
    <xf numFmtId="167" fontId="11" fillId="2" borderId="38" xfId="0" applyNumberFormat="1" applyFont="1" applyFill="1" applyBorder="1" applyAlignment="1">
      <alignment horizontal="center" vertical="center" wrapText="1"/>
    </xf>
    <xf numFmtId="2" fontId="10" fillId="2" borderId="38" xfId="0" applyNumberFormat="1" applyFont="1" applyFill="1" applyBorder="1" applyAlignment="1">
      <alignment vertical="center" wrapText="1"/>
    </xf>
    <xf numFmtId="167" fontId="10" fillId="3" borderId="38" xfId="0" applyNumberFormat="1" applyFont="1" applyFill="1" applyBorder="1" applyAlignment="1">
      <alignment horizontal="center" vertical="center" wrapText="1"/>
    </xf>
    <xf numFmtId="167" fontId="10" fillId="2" borderId="38" xfId="0" applyNumberFormat="1" applyFont="1" applyFill="1" applyBorder="1" applyAlignment="1">
      <alignment horizontal="center" vertical="center" wrapText="1"/>
    </xf>
    <xf numFmtId="49" fontId="10" fillId="2" borderId="38" xfId="0" applyNumberFormat="1" applyFont="1" applyFill="1" applyBorder="1" applyAlignment="1">
      <alignment horizontal="center" vertical="center" wrapText="1"/>
    </xf>
    <xf numFmtId="49" fontId="10" fillId="3" borderId="39" xfId="0" applyNumberFormat="1" applyFont="1" applyFill="1" applyBorder="1" applyAlignment="1">
      <alignment vertical="center" wrapText="1"/>
    </xf>
    <xf numFmtId="168" fontId="1" fillId="0" borderId="1" xfId="0" applyNumberFormat="1" applyFont="1" applyBorder="1"/>
    <xf numFmtId="168" fontId="1" fillId="0" borderId="6" xfId="0" applyNumberFormat="1" applyFont="1" applyBorder="1"/>
    <xf numFmtId="168" fontId="1" fillId="0" borderId="7" xfId="0" applyNumberFormat="1" applyFont="1" applyBorder="1"/>
    <xf numFmtId="168" fontId="2" fillId="2" borderId="38" xfId="0" applyNumberFormat="1" applyFont="1" applyFill="1" applyBorder="1" applyAlignment="1">
      <alignment horizontal="center" vertical="center" wrapText="1"/>
    </xf>
    <xf numFmtId="168" fontId="9" fillId="2" borderId="35" xfId="0" applyNumberFormat="1" applyFont="1" applyFill="1" applyBorder="1" applyAlignment="1">
      <alignment horizontal="right" wrapText="1"/>
    </xf>
    <xf numFmtId="168" fontId="1" fillId="0" borderId="12" xfId="0" applyNumberFormat="1" applyFont="1" applyBorder="1" applyAlignment="1">
      <alignment horizontal="right" wrapText="1"/>
    </xf>
    <xf numFmtId="168" fontId="1" fillId="0" borderId="3" xfId="0" applyNumberFormat="1" applyFont="1" applyBorder="1" applyAlignment="1">
      <alignment horizontal="right" vertical="top" wrapText="1"/>
    </xf>
    <xf numFmtId="168" fontId="1" fillId="0" borderId="3" xfId="0" applyNumberFormat="1" applyFont="1" applyFill="1" applyBorder="1" applyAlignment="1">
      <alignment horizontal="right" vertical="top" wrapText="1"/>
    </xf>
    <xf numFmtId="168" fontId="1" fillId="0" borderId="3" xfId="0" applyNumberFormat="1" applyFont="1" applyBorder="1" applyAlignment="1">
      <alignment horizontal="right" wrapText="1"/>
    </xf>
    <xf numFmtId="168" fontId="1" fillId="0" borderId="13" xfId="0" applyNumberFormat="1" applyFont="1" applyBorder="1" applyAlignment="1">
      <alignment horizontal="right" wrapText="1"/>
    </xf>
    <xf numFmtId="168" fontId="9" fillId="0" borderId="16" xfId="0" applyNumberFormat="1" applyFont="1" applyBorder="1" applyAlignment="1">
      <alignment horizontal="right" wrapText="1"/>
    </xf>
    <xf numFmtId="168" fontId="9" fillId="0" borderId="0" xfId="0" applyNumberFormat="1" applyFont="1" applyBorder="1" applyAlignment="1">
      <alignment horizontal="right" wrapText="1"/>
    </xf>
    <xf numFmtId="168" fontId="9" fillId="0" borderId="0" xfId="0" applyNumberFormat="1" applyFont="1" applyBorder="1" applyAlignment="1">
      <alignment horizontal="justify" vertical="top" wrapText="1"/>
    </xf>
    <xf numFmtId="168" fontId="9" fillId="0" borderId="6" xfId="0" applyNumberFormat="1" applyFont="1" applyBorder="1" applyAlignment="1">
      <alignment horizontal="justify" vertical="top" wrapText="1"/>
    </xf>
    <xf numFmtId="168" fontId="9" fillId="0" borderId="20" xfId="0" applyNumberFormat="1" applyFont="1" applyBorder="1" applyAlignment="1">
      <alignment horizontal="justify" vertical="top" wrapText="1"/>
    </xf>
    <xf numFmtId="168" fontId="9" fillId="0" borderId="23" xfId="0" applyNumberFormat="1" applyFont="1" applyBorder="1" applyAlignment="1">
      <alignment horizontal="justify" vertical="top" wrapText="1"/>
    </xf>
    <xf numFmtId="168" fontId="1" fillId="0" borderId="0" xfId="0" applyNumberFormat="1" applyFont="1" applyBorder="1" applyAlignment="1">
      <alignment horizontal="right" wrapText="1"/>
    </xf>
    <xf numFmtId="168" fontId="1" fillId="0" borderId="0" xfId="0" applyNumberFormat="1" applyFont="1" applyBorder="1"/>
    <xf numFmtId="169" fontId="0" fillId="0" borderId="1" xfId="0" applyNumberFormat="1" applyBorder="1"/>
    <xf numFmtId="169" fontId="10" fillId="0" borderId="5" xfId="0" applyNumberFormat="1" applyFont="1" applyBorder="1"/>
    <xf numFmtId="169" fontId="11" fillId="2" borderId="38" xfId="0" applyNumberFormat="1" applyFont="1" applyFill="1" applyBorder="1" applyAlignment="1">
      <alignment horizontal="center" vertical="center" wrapText="1"/>
    </xf>
    <xf numFmtId="169" fontId="5" fillId="2" borderId="35" xfId="0" applyNumberFormat="1" applyFont="1" applyFill="1" applyBorder="1" applyAlignment="1">
      <alignment horizontal="right" wrapText="1"/>
    </xf>
    <xf numFmtId="169" fontId="0" fillId="0" borderId="12" xfId="0" applyNumberFormat="1" applyBorder="1" applyAlignment="1">
      <alignment horizontal="right" wrapText="1"/>
    </xf>
    <xf numFmtId="169" fontId="1" fillId="0" borderId="3" xfId="0" applyNumberFormat="1" applyFont="1" applyBorder="1" applyAlignment="1">
      <alignment horizontal="right" vertical="top" wrapText="1"/>
    </xf>
    <xf numFmtId="169" fontId="1" fillId="0" borderId="3" xfId="0" applyNumberFormat="1" applyFont="1" applyFill="1" applyBorder="1" applyAlignment="1">
      <alignment horizontal="right" vertical="top" wrapText="1"/>
    </xf>
    <xf numFmtId="169" fontId="1" fillId="0" borderId="3" xfId="0" applyNumberFormat="1" applyFont="1" applyBorder="1" applyAlignment="1">
      <alignment horizontal="right" wrapText="1"/>
    </xf>
    <xf numFmtId="169" fontId="1" fillId="0" borderId="12" xfId="0" applyNumberFormat="1" applyFont="1" applyBorder="1" applyAlignment="1">
      <alignment horizontal="right" wrapText="1"/>
    </xf>
    <xf numFmtId="169" fontId="1" fillId="0" borderId="13" xfId="0" applyNumberFormat="1" applyFont="1" applyBorder="1" applyAlignment="1">
      <alignment horizontal="right" wrapText="1"/>
    </xf>
    <xf numFmtId="169" fontId="1" fillId="0" borderId="3" xfId="0" applyNumberFormat="1" applyFont="1" applyBorder="1" applyAlignment="1">
      <alignment horizontal="justify" vertical="top" wrapText="1"/>
    </xf>
    <xf numFmtId="169" fontId="9" fillId="0" borderId="16" xfId="0" applyNumberFormat="1" applyFont="1" applyBorder="1" applyAlignment="1">
      <alignment horizontal="right" wrapText="1"/>
    </xf>
    <xf numFmtId="169" fontId="9" fillId="0" borderId="0" xfId="0" applyNumberFormat="1" applyFont="1" applyBorder="1" applyAlignment="1">
      <alignment horizontal="right" wrapText="1"/>
    </xf>
    <xf numFmtId="169" fontId="9" fillId="0" borderId="0" xfId="0" applyNumberFormat="1" applyFont="1" applyBorder="1" applyAlignment="1">
      <alignment horizontal="justify" vertical="top" wrapText="1"/>
    </xf>
    <xf numFmtId="169" fontId="9" fillId="0" borderId="6" xfId="0" applyNumberFormat="1" applyFont="1" applyBorder="1" applyAlignment="1">
      <alignment horizontal="justify" vertical="top" wrapText="1"/>
    </xf>
    <xf numFmtId="169" fontId="9" fillId="0" borderId="20" xfId="0" applyNumberFormat="1" applyFont="1" applyBorder="1" applyAlignment="1">
      <alignment horizontal="justify" vertical="top" wrapText="1"/>
    </xf>
    <xf numFmtId="169" fontId="9" fillId="0" borderId="23" xfId="0" applyNumberFormat="1" applyFont="1" applyBorder="1" applyAlignment="1">
      <alignment horizontal="justify" vertical="top" wrapText="1"/>
    </xf>
    <xf numFmtId="169" fontId="0" fillId="0" borderId="0" xfId="0" applyNumberFormat="1" applyBorder="1" applyAlignment="1">
      <alignment horizontal="right" wrapText="1"/>
    </xf>
    <xf numFmtId="169" fontId="0" fillId="0" borderId="0" xfId="0" applyNumberFormat="1" applyBorder="1"/>
    <xf numFmtId="0" fontId="13" fillId="0" borderId="0" xfId="0" applyFont="1" applyBorder="1" applyAlignment="1">
      <alignment horizontal="left" vertical="center" wrapText="1"/>
    </xf>
    <xf numFmtId="2" fontId="1" fillId="0" borderId="3" xfId="0" applyNumberFormat="1" applyFont="1" applyFill="1" applyBorder="1" applyAlignment="1">
      <alignment horizontal="left" vertical="top" wrapText="1"/>
    </xf>
    <xf numFmtId="1" fontId="1" fillId="0" borderId="25" xfId="0" applyNumberFormat="1" applyFont="1" applyBorder="1" applyAlignment="1">
      <alignment horizontal="left"/>
    </xf>
    <xf numFmtId="1" fontId="1" fillId="0" borderId="1" xfId="0" applyNumberFormat="1" applyFont="1" applyBorder="1" applyAlignment="1">
      <alignment horizontal="left"/>
    </xf>
    <xf numFmtId="1" fontId="1" fillId="0" borderId="33" xfId="0" applyNumberFormat="1" applyFont="1" applyFill="1" applyBorder="1" applyAlignment="1">
      <alignment horizontal="center" vertical="top"/>
    </xf>
    <xf numFmtId="1" fontId="1" fillId="0" borderId="2" xfId="0" applyNumberFormat="1" applyFont="1" applyFill="1" applyBorder="1" applyAlignment="1">
      <alignment horizontal="center" vertical="top"/>
    </xf>
    <xf numFmtId="1" fontId="1" fillId="0" borderId="34" xfId="0" applyNumberFormat="1" applyFont="1" applyFill="1" applyBorder="1" applyAlignment="1">
      <alignment horizontal="center" vertical="top"/>
    </xf>
  </cellXfs>
  <cellStyles count="2">
    <cellStyle name="0,0_x000d__x000a_NA_x000d__x000a_" xfId="1"/>
    <cellStyle name="Normale" xfId="0" builtinId="0"/>
  </cellStyles>
  <dxfs count="407"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i val="0"/>
        <condense val="0"/>
        <extend val="0"/>
        <color rgb="FFFF000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i val="0"/>
        <condense val="0"/>
        <extend val="0"/>
        <color rgb="FFFF000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</font>
      <border>
        <left/>
        <right/>
        <top/>
        <bottom style="thin">
          <color indexed="22"/>
        </bottom>
      </border>
    </dxf>
    <dxf>
      <font>
        <b val="0"/>
        <i val="0"/>
        <condense val="0"/>
        <extend val="0"/>
      </font>
      <border>
        <left/>
        <right/>
        <top style="thin">
          <color indexed="22"/>
        </top>
        <bottom/>
      </border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0"/>
      </font>
    </dxf>
    <dxf>
      <font>
        <b val="0"/>
        <i val="0"/>
        <condense val="0"/>
        <extend val="0"/>
        <color indexed="12"/>
      </font>
    </dxf>
    <dxf>
      <font>
        <b val="0"/>
        <i val="0"/>
        <condense val="0"/>
        <extend val="0"/>
        <color indexed="1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xmlns:ns1='ACCA.Misurazioni'">
  <Schema ID="Schema14" Namespace="ACCA.Misurazioni">
    <xsd:schema xmlns:xsd="http://www.w3.org/2001/XMLSchema" xmlns:ns0="ACCA.Misurazioni" xmlns="" targetNamespace="ACCA.Misurazioni">
      <xsd:element nillable="true" name="Misurazioni">
        <xsd:complexType>
          <xsd:sequence minOccurs="0">
            <xsd:element minOccurs="0" maxOccurs="unbounded" nillable="true" name="ItemVC" form="qualified">
              <xsd:complexType>
                <xsd:attribute name="Nr" form="unqualified" type="xsd:string"/>
                <xsd:attribute name="Tar" form="unqualified" type="xsd:string"/>
                <xsd:attribute name="Des" form="unqualified" type="xsd:string"/>
                <xsd:attribute name="ParUg" form="unqualified" type="xsd:string"/>
                <xsd:attribute name="Lung" form="unqualified" type="xsd:string"/>
                <xsd:attribute name="Larg" form="unqualified" type="xsd:string"/>
                <xsd:attribute name="HPeso" form="unqualified" type="xsd:string"/>
                <xsd:attribute name="QT" form="unqualified" type="xsd:string"/>
                <xsd:attribute name="Prz" form="unqualified" type="xsd:string"/>
                <xsd:attribute name="Tot" form="unqualified" type="xsd:string"/>
                <xsd:attribute name="ClDes" form="unqualified" type="xsd:string"/>
                <xsd:attribute name="ClQT" form="unqualified" type="xsd:string"/>
                <xsd:attribute name="Line" form="unqualified" type="xsd:string"/>
              </xsd:complexType>
            </xsd:element>
          </xsd:sequence>
        </xsd:complexType>
      </xsd:element>
    </xsd:schema>
  </Schema>
  <Map ID="1" Name="Misurazioni_mapping" RootElement="Misurazioni" SchemaID="Schema14" ShowImportExportValidationErrors="false" AutoFit="false" Append="false" PreserveSortAFLayout="false" PreserveFormat="true">
    <DataBinding DataBindingName="Binding1" FileBinding="true" ConnectionID="1" DataBindingLoadMode="1"/>
  </Map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xmlMaps" Target="xmlMap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50"/>
    <pageSetUpPr fitToPage="1"/>
  </sheetPr>
  <dimension ref="A1:S514"/>
  <sheetViews>
    <sheetView showGridLines="0" showZeros="0" tabSelected="1" view="pageBreakPreview" zoomScale="130" zoomScaleNormal="100" zoomScaleSheetLayoutView="130" workbookViewId="0">
      <pane xSplit="4" ySplit="3" topLeftCell="E487" activePane="bottomRight" state="frozen"/>
      <selection pane="topRight" activeCell="E1" sqref="E1"/>
      <selection pane="bottomLeft" activeCell="A4" sqref="A4"/>
      <selection pane="bottomRight" activeCell="H497" sqref="H497"/>
    </sheetView>
  </sheetViews>
  <sheetFormatPr defaultColWidth="9.33203125" defaultRowHeight="10.5" x14ac:dyDescent="0.15"/>
  <cols>
    <col min="1" max="1" width="1.33203125" style="2" customWidth="1"/>
    <col min="2" max="2" width="5.6640625" style="93" customWidth="1"/>
    <col min="3" max="3" width="16.83203125" style="3" hidden="1" customWidth="1"/>
    <col min="4" max="4" width="16.33203125" style="2" bestFit="1" customWidth="1"/>
    <col min="5" max="5" width="57.33203125" style="4" customWidth="1"/>
    <col min="6" max="6" width="10.83203125" style="241" customWidth="1"/>
    <col min="7" max="9" width="10.83203125" style="222" customWidth="1"/>
    <col min="10" max="10" width="6.1640625" style="3" customWidth="1"/>
    <col min="11" max="11" width="12.5" style="156" bestFit="1" customWidth="1"/>
    <col min="12" max="12" width="11.33203125" style="3" customWidth="1"/>
    <col min="13" max="13" width="11.5" style="173" bestFit="1" customWidth="1"/>
    <col min="14" max="14" width="16" style="156" bestFit="1" customWidth="1"/>
    <col min="15" max="15" width="13.5" style="5" customWidth="1"/>
    <col min="16" max="16" width="14" style="2" customWidth="1"/>
    <col min="17" max="17" width="13.1640625" style="59" customWidth="1"/>
    <col min="18" max="18" width="1.83203125" style="2" customWidth="1"/>
    <col min="19" max="19" width="9.5" style="2" bestFit="1" customWidth="1"/>
    <col min="20" max="250" width="9.33203125" style="2"/>
    <col min="251" max="252" width="11.1640625" style="2" customWidth="1"/>
    <col min="253" max="16384" width="9.33203125" style="2"/>
  </cols>
  <sheetData>
    <row r="1" spans="1:19" ht="12" thickTop="1" thickBot="1" x14ac:dyDescent="0.2">
      <c r="B1" s="244" t="s">
        <v>272</v>
      </c>
      <c r="C1" s="245"/>
      <c r="D1" s="245"/>
      <c r="E1" s="245"/>
      <c r="F1" s="223"/>
      <c r="G1" s="205"/>
      <c r="H1" s="205"/>
      <c r="I1" s="205"/>
      <c r="J1" s="20"/>
      <c r="K1" s="141"/>
      <c r="L1" s="20"/>
      <c r="M1" s="157"/>
      <c r="N1" s="141"/>
      <c r="O1" s="22"/>
      <c r="P1" s="21"/>
      <c r="Q1" s="60"/>
    </row>
    <row r="2" spans="1:19" ht="11.25" thickTop="1" x14ac:dyDescent="0.15">
      <c r="A2" s="6"/>
      <c r="B2" s="85" t="s">
        <v>4</v>
      </c>
      <c r="C2" s="25" t="s">
        <v>41</v>
      </c>
      <c r="D2" s="25" t="s">
        <v>43</v>
      </c>
      <c r="E2" s="41" t="s">
        <v>5</v>
      </c>
      <c r="F2" s="224"/>
      <c r="G2" s="206" t="s">
        <v>6</v>
      </c>
      <c r="H2" s="206"/>
      <c r="I2" s="207"/>
      <c r="J2" s="26" t="s">
        <v>45</v>
      </c>
      <c r="K2" s="142" t="s">
        <v>7</v>
      </c>
      <c r="L2" s="27" t="s">
        <v>46</v>
      </c>
      <c r="M2" s="158" t="s">
        <v>47</v>
      </c>
      <c r="N2" s="142" t="s">
        <v>47</v>
      </c>
      <c r="O2" s="28" t="s">
        <v>48</v>
      </c>
      <c r="P2" s="27" t="s">
        <v>52</v>
      </c>
      <c r="Q2" s="61" t="s">
        <v>59</v>
      </c>
      <c r="R2" s="1"/>
      <c r="S2" s="1"/>
    </row>
    <row r="3" spans="1:19" ht="21.75" thickBot="1" x14ac:dyDescent="0.2">
      <c r="B3" s="196" t="s">
        <v>8</v>
      </c>
      <c r="C3" s="197" t="s">
        <v>42</v>
      </c>
      <c r="D3" s="197" t="s">
        <v>9</v>
      </c>
      <c r="E3" s="198" t="s">
        <v>10</v>
      </c>
      <c r="F3" s="225" t="s">
        <v>11</v>
      </c>
      <c r="G3" s="208" t="s">
        <v>12</v>
      </c>
      <c r="H3" s="208" t="s">
        <v>13</v>
      </c>
      <c r="I3" s="208" t="s">
        <v>14</v>
      </c>
      <c r="J3" s="198" t="s">
        <v>44</v>
      </c>
      <c r="K3" s="199" t="s">
        <v>15</v>
      </c>
      <c r="L3" s="200" t="s">
        <v>56</v>
      </c>
      <c r="M3" s="201" t="s">
        <v>57</v>
      </c>
      <c r="N3" s="202" t="s">
        <v>58</v>
      </c>
      <c r="O3" s="200" t="s">
        <v>49</v>
      </c>
      <c r="P3" s="203" t="s">
        <v>54</v>
      </c>
      <c r="Q3" s="204" t="s">
        <v>55</v>
      </c>
    </row>
    <row r="4" spans="1:19" ht="15.75" thickTop="1" x14ac:dyDescent="0.2">
      <c r="B4" s="184"/>
      <c r="C4" s="185" t="s">
        <v>65</v>
      </c>
      <c r="D4" s="186"/>
      <c r="E4" s="187" t="s">
        <v>51</v>
      </c>
      <c r="F4" s="226"/>
      <c r="G4" s="209"/>
      <c r="H4" s="209"/>
      <c r="I4" s="209"/>
      <c r="J4" s="188"/>
      <c r="K4" s="189"/>
      <c r="L4" s="190"/>
      <c r="M4" s="191"/>
      <c r="N4" s="192"/>
      <c r="O4" s="193"/>
      <c r="P4" s="194">
        <f>J4*N4</f>
        <v>0</v>
      </c>
      <c r="Q4" s="195">
        <f>K4*O4</f>
        <v>0</v>
      </c>
    </row>
    <row r="5" spans="1:19" ht="12.75" x14ac:dyDescent="0.15">
      <c r="B5" s="87"/>
      <c r="C5" s="29"/>
      <c r="D5" s="29"/>
      <c r="E5" s="30"/>
      <c r="F5" s="227"/>
      <c r="G5" s="210"/>
      <c r="H5" s="210"/>
      <c r="I5" s="210"/>
      <c r="J5" s="31"/>
      <c r="K5" s="143"/>
      <c r="L5" s="32"/>
      <c r="M5" s="159"/>
      <c r="N5" s="174"/>
      <c r="O5" s="34"/>
      <c r="P5" s="34">
        <f>I5*N5</f>
        <v>0</v>
      </c>
      <c r="Q5" s="62"/>
    </row>
    <row r="6" spans="1:19" ht="30" x14ac:dyDescent="0.15">
      <c r="B6" s="87"/>
      <c r="C6" s="35" t="s">
        <v>64</v>
      </c>
      <c r="D6" s="29"/>
      <c r="E6" s="36" t="s">
        <v>50</v>
      </c>
      <c r="F6" s="227"/>
      <c r="G6" s="210"/>
      <c r="H6" s="210"/>
      <c r="I6" s="210"/>
      <c r="J6" s="31"/>
      <c r="K6" s="143"/>
      <c r="L6" s="32"/>
      <c r="M6" s="159"/>
      <c r="N6" s="174"/>
      <c r="O6" s="34"/>
      <c r="P6" s="33"/>
      <c r="Q6" s="63"/>
    </row>
    <row r="7" spans="1:19" ht="12.75" x14ac:dyDescent="0.15">
      <c r="B7" s="87"/>
      <c r="C7" s="37" t="s">
        <v>66</v>
      </c>
      <c r="D7" s="29"/>
      <c r="E7" s="38" t="s">
        <v>53</v>
      </c>
      <c r="F7" s="227"/>
      <c r="G7" s="210"/>
      <c r="H7" s="210"/>
      <c r="I7" s="210"/>
      <c r="J7" s="31"/>
      <c r="K7" s="143"/>
      <c r="L7" s="32"/>
      <c r="M7" s="159"/>
      <c r="N7" s="174"/>
      <c r="O7" s="34"/>
      <c r="P7" s="34">
        <f>J7*N7</f>
        <v>0</v>
      </c>
      <c r="Q7" s="62"/>
    </row>
    <row r="8" spans="1:19" s="70" customFormat="1" x14ac:dyDescent="0.15">
      <c r="B8" s="86"/>
      <c r="C8" s="67"/>
      <c r="D8" s="23"/>
      <c r="E8" s="42"/>
      <c r="F8" s="228"/>
      <c r="G8" s="211"/>
      <c r="H8" s="211"/>
      <c r="I8" s="211"/>
      <c r="J8" s="42"/>
      <c r="K8" s="144"/>
      <c r="L8" s="67"/>
      <c r="M8" s="160"/>
      <c r="N8" s="144"/>
      <c r="O8" s="42"/>
      <c r="P8" s="42"/>
      <c r="Q8" s="68"/>
    </row>
    <row r="9" spans="1:19" s="70" customFormat="1" ht="31.5" x14ac:dyDescent="0.15">
      <c r="B9" s="86">
        <v>1</v>
      </c>
      <c r="C9" s="42"/>
      <c r="D9" s="94" t="s">
        <v>258</v>
      </c>
      <c r="E9" s="94" t="s">
        <v>259</v>
      </c>
      <c r="F9" s="229"/>
      <c r="G9" s="212"/>
      <c r="H9" s="212"/>
      <c r="I9" s="212"/>
      <c r="J9" s="66"/>
      <c r="K9" s="145"/>
      <c r="L9" s="24"/>
      <c r="M9" s="145"/>
      <c r="N9" s="145"/>
      <c r="O9" s="24"/>
      <c r="P9" s="24"/>
      <c r="Q9" s="68"/>
    </row>
    <row r="10" spans="1:19" s="70" customFormat="1" x14ac:dyDescent="0.15">
      <c r="B10" s="86"/>
      <c r="C10" s="42"/>
      <c r="D10" s="94"/>
      <c r="E10" s="94" t="s">
        <v>17</v>
      </c>
      <c r="F10" s="229"/>
      <c r="G10" s="212"/>
      <c r="H10" s="212"/>
      <c r="I10" s="212"/>
      <c r="J10" s="66"/>
      <c r="K10" s="145"/>
      <c r="L10" s="24"/>
      <c r="M10" s="145"/>
      <c r="N10" s="145"/>
      <c r="O10" s="24"/>
      <c r="P10" s="24"/>
      <c r="Q10" s="68"/>
    </row>
    <row r="11" spans="1:19" s="70" customFormat="1" x14ac:dyDescent="0.15">
      <c r="B11" s="86"/>
      <c r="C11" s="42"/>
      <c r="D11" s="94"/>
      <c r="E11" s="94" t="s">
        <v>256</v>
      </c>
      <c r="F11" s="229">
        <v>1</v>
      </c>
      <c r="G11" s="212">
        <v>84.5</v>
      </c>
      <c r="H11" s="212">
        <v>29.5</v>
      </c>
      <c r="I11" s="212">
        <v>0.15</v>
      </c>
      <c r="J11" s="66"/>
      <c r="K11" s="145">
        <f t="shared" ref="K11:K13" si="0">ROUND(PRODUCT(F11:I11),2)</f>
        <v>373.91</v>
      </c>
      <c r="L11" s="24"/>
      <c r="M11" s="145"/>
      <c r="N11" s="145"/>
      <c r="O11" s="24"/>
      <c r="P11" s="24"/>
      <c r="Q11" s="68"/>
    </row>
    <row r="12" spans="1:19" s="70" customFormat="1" x14ac:dyDescent="0.15">
      <c r="B12" s="86"/>
      <c r="C12" s="42"/>
      <c r="D12" s="94"/>
      <c r="E12" s="95" t="s">
        <v>159</v>
      </c>
      <c r="F12" s="229">
        <v>-1</v>
      </c>
      <c r="G12" s="212">
        <v>296.93</v>
      </c>
      <c r="H12" s="212"/>
      <c r="I12" s="212">
        <v>0.15</v>
      </c>
      <c r="J12" s="66"/>
      <c r="K12" s="145">
        <f t="shared" si="0"/>
        <v>-44.54</v>
      </c>
      <c r="L12" s="24"/>
      <c r="M12" s="145"/>
      <c r="N12" s="145"/>
      <c r="O12" s="24"/>
      <c r="P12" s="24"/>
      <c r="Q12" s="68"/>
    </row>
    <row r="13" spans="1:19" s="70" customFormat="1" x14ac:dyDescent="0.15">
      <c r="B13" s="86"/>
      <c r="C13" s="42"/>
      <c r="D13" s="94"/>
      <c r="E13" s="95" t="s">
        <v>160</v>
      </c>
      <c r="F13" s="229">
        <v>-1</v>
      </c>
      <c r="G13" s="212">
        <v>276.93</v>
      </c>
      <c r="H13" s="212"/>
      <c r="I13" s="212">
        <v>0.15</v>
      </c>
      <c r="J13" s="66"/>
      <c r="K13" s="145">
        <f t="shared" si="0"/>
        <v>-41.54</v>
      </c>
      <c r="L13" s="24"/>
      <c r="M13" s="145"/>
      <c r="N13" s="145"/>
      <c r="O13" s="24"/>
      <c r="P13" s="24"/>
      <c r="Q13" s="68"/>
    </row>
    <row r="14" spans="1:19" s="70" customFormat="1" x14ac:dyDescent="0.15">
      <c r="B14" s="86"/>
      <c r="C14" s="42"/>
      <c r="D14" s="94"/>
      <c r="E14" s="24"/>
      <c r="F14" s="229"/>
      <c r="G14" s="212"/>
      <c r="H14" s="212"/>
      <c r="I14" s="212"/>
      <c r="J14" s="66"/>
      <c r="K14" s="145"/>
      <c r="L14" s="24"/>
      <c r="M14" s="145"/>
      <c r="N14" s="145"/>
      <c r="O14" s="24"/>
      <c r="P14" s="24"/>
      <c r="Q14" s="68"/>
    </row>
    <row r="15" spans="1:19" s="70" customFormat="1" x14ac:dyDescent="0.15">
      <c r="B15" s="86"/>
      <c r="C15" s="42"/>
      <c r="D15" s="94"/>
      <c r="E15" s="24" t="s">
        <v>23</v>
      </c>
      <c r="F15" s="229"/>
      <c r="G15" s="212"/>
      <c r="H15" s="212"/>
      <c r="I15" s="212"/>
      <c r="J15" s="66" t="s">
        <v>116</v>
      </c>
      <c r="K15" s="145">
        <f>ROUND(SUM(K10:K14),2)</f>
        <v>287.83</v>
      </c>
      <c r="L15" s="72">
        <v>9.02</v>
      </c>
      <c r="M15" s="145">
        <f>ROUND(PRODUCT(K15:L15),2)</f>
        <v>2596.23</v>
      </c>
      <c r="N15" s="145"/>
      <c r="O15" s="24">
        <v>0.24</v>
      </c>
      <c r="P15" s="24">
        <f>O15*K15</f>
        <v>69.0792</v>
      </c>
      <c r="Q15" s="68"/>
    </row>
    <row r="16" spans="1:19" s="70" customFormat="1" x14ac:dyDescent="0.15">
      <c r="B16" s="86"/>
      <c r="C16" s="67"/>
      <c r="D16" s="23"/>
      <c r="E16" s="42"/>
      <c r="F16" s="228"/>
      <c r="G16" s="211"/>
      <c r="H16" s="211"/>
      <c r="I16" s="211"/>
      <c r="J16" s="42"/>
      <c r="K16" s="144"/>
      <c r="L16" s="67"/>
      <c r="M16" s="160"/>
      <c r="N16" s="144"/>
      <c r="O16" s="42"/>
      <c r="P16" s="42"/>
      <c r="Q16" s="68"/>
    </row>
    <row r="17" spans="2:17" s="70" customFormat="1" ht="42" x14ac:dyDescent="0.15">
      <c r="B17" s="86">
        <v>2</v>
      </c>
      <c r="C17" s="42"/>
      <c r="D17" s="94" t="s">
        <v>260</v>
      </c>
      <c r="E17" s="94" t="s">
        <v>261</v>
      </c>
      <c r="F17" s="229"/>
      <c r="G17" s="212"/>
      <c r="H17" s="212"/>
      <c r="I17" s="212"/>
      <c r="J17" s="66"/>
      <c r="K17" s="145"/>
      <c r="L17" s="24"/>
      <c r="M17" s="145"/>
      <c r="N17" s="145"/>
      <c r="O17" s="24"/>
      <c r="P17" s="24"/>
      <c r="Q17" s="68"/>
    </row>
    <row r="18" spans="2:17" s="70" customFormat="1" x14ac:dyDescent="0.15">
      <c r="B18" s="86"/>
      <c r="C18" s="42"/>
      <c r="D18" s="94"/>
      <c r="E18" s="94" t="s">
        <v>17</v>
      </c>
      <c r="F18" s="229"/>
      <c r="G18" s="212"/>
      <c r="H18" s="212"/>
      <c r="I18" s="212"/>
      <c r="J18" s="66"/>
      <c r="K18" s="145"/>
      <c r="L18" s="24"/>
      <c r="M18" s="145"/>
      <c r="N18" s="145"/>
      <c r="O18" s="24"/>
      <c r="P18" s="24"/>
      <c r="Q18" s="68"/>
    </row>
    <row r="19" spans="2:17" s="70" customFormat="1" x14ac:dyDescent="0.15">
      <c r="B19" s="86"/>
      <c r="C19" s="42"/>
      <c r="D19" s="94"/>
      <c r="E19" s="95" t="s">
        <v>262</v>
      </c>
      <c r="F19" s="229">
        <v>1</v>
      </c>
      <c r="G19" s="212">
        <v>481</v>
      </c>
      <c r="H19" s="212"/>
      <c r="I19" s="212"/>
      <c r="J19" s="66"/>
      <c r="K19" s="145">
        <f t="shared" ref="K19" si="1">ROUND(PRODUCT(F19:I19),2)</f>
        <v>481</v>
      </c>
      <c r="L19" s="24"/>
      <c r="M19" s="145"/>
      <c r="N19" s="145"/>
      <c r="O19" s="24"/>
      <c r="P19" s="24"/>
      <c r="Q19" s="68"/>
    </row>
    <row r="20" spans="2:17" s="70" customFormat="1" x14ac:dyDescent="0.15">
      <c r="B20" s="86"/>
      <c r="C20" s="42"/>
      <c r="D20" s="94"/>
      <c r="E20" s="24"/>
      <c r="F20" s="229"/>
      <c r="G20" s="212"/>
      <c r="H20" s="212"/>
      <c r="I20" s="212"/>
      <c r="J20" s="66"/>
      <c r="K20" s="145"/>
      <c r="L20" s="24"/>
      <c r="M20" s="145"/>
      <c r="N20" s="145"/>
      <c r="O20" s="24"/>
      <c r="P20" s="24"/>
      <c r="Q20" s="68"/>
    </row>
    <row r="21" spans="2:17" s="70" customFormat="1" x14ac:dyDescent="0.15">
      <c r="B21" s="86"/>
      <c r="C21" s="42"/>
      <c r="D21" s="94"/>
      <c r="E21" s="24" t="s">
        <v>23</v>
      </c>
      <c r="F21" s="229"/>
      <c r="G21" s="212"/>
      <c r="H21" s="212"/>
      <c r="I21" s="212"/>
      <c r="J21" s="66" t="s">
        <v>118</v>
      </c>
      <c r="K21" s="145">
        <f>ROUND(SUM(K18:K20),2)</f>
        <v>481</v>
      </c>
      <c r="L21" s="72">
        <v>5.88</v>
      </c>
      <c r="M21" s="145">
        <f>ROUND(PRODUCT(K21:L21),2)</f>
        <v>2828.28</v>
      </c>
      <c r="N21" s="145"/>
      <c r="O21" s="24">
        <v>0.16</v>
      </c>
      <c r="P21" s="24">
        <f>O21*K21</f>
        <v>76.960000000000008</v>
      </c>
      <c r="Q21" s="68"/>
    </row>
    <row r="22" spans="2:17" s="70" customFormat="1" x14ac:dyDescent="0.15">
      <c r="B22" s="86"/>
      <c r="C22" s="67"/>
      <c r="D22" s="23"/>
      <c r="E22" s="42"/>
      <c r="F22" s="228"/>
      <c r="G22" s="211"/>
      <c r="H22" s="211"/>
      <c r="I22" s="211"/>
      <c r="J22" s="42"/>
      <c r="K22" s="144"/>
      <c r="L22" s="67"/>
      <c r="M22" s="160"/>
      <c r="N22" s="144"/>
      <c r="O22" s="42"/>
      <c r="P22" s="42"/>
      <c r="Q22" s="68"/>
    </row>
    <row r="23" spans="2:17" s="70" customFormat="1" ht="94.5" x14ac:dyDescent="0.15">
      <c r="B23" s="86">
        <v>3</v>
      </c>
      <c r="C23" s="42"/>
      <c r="D23" s="94" t="s">
        <v>141</v>
      </c>
      <c r="E23" s="94" t="s">
        <v>22</v>
      </c>
      <c r="F23" s="229"/>
      <c r="G23" s="212"/>
      <c r="H23" s="212"/>
      <c r="I23" s="212"/>
      <c r="J23" s="66"/>
      <c r="K23" s="145"/>
      <c r="L23" s="24"/>
      <c r="M23" s="145"/>
      <c r="N23" s="145"/>
      <c r="O23" s="24"/>
      <c r="P23" s="24"/>
      <c r="Q23" s="68"/>
    </row>
    <row r="24" spans="2:17" s="70" customFormat="1" x14ac:dyDescent="0.15">
      <c r="B24" s="86"/>
      <c r="C24" s="42"/>
      <c r="D24" s="94"/>
      <c r="E24" s="94" t="s">
        <v>17</v>
      </c>
      <c r="F24" s="229"/>
      <c r="G24" s="212"/>
      <c r="H24" s="212"/>
      <c r="I24" s="212"/>
      <c r="J24" s="66"/>
      <c r="K24" s="145"/>
      <c r="L24" s="24"/>
      <c r="M24" s="145"/>
      <c r="N24" s="145"/>
      <c r="O24" s="24"/>
      <c r="P24" s="24"/>
      <c r="Q24" s="68"/>
    </row>
    <row r="25" spans="2:17" s="70" customFormat="1" x14ac:dyDescent="0.15">
      <c r="B25" s="86"/>
      <c r="C25" s="42"/>
      <c r="D25" s="94"/>
      <c r="E25" s="94" t="s">
        <v>67</v>
      </c>
      <c r="F25" s="229">
        <v>-1</v>
      </c>
      <c r="G25" s="212">
        <f>(79.85+86.85)/2</f>
        <v>83.35</v>
      </c>
      <c r="H25" s="212">
        <f>(25.9+32.9)/2</f>
        <v>29.4</v>
      </c>
      <c r="I25" s="212">
        <v>3.5</v>
      </c>
      <c r="J25" s="66"/>
      <c r="K25" s="145">
        <f t="shared" ref="K25:K30" si="2">ROUND(PRODUCT(F25:I25),2)</f>
        <v>-8576.7199999999993</v>
      </c>
      <c r="L25" s="24"/>
      <c r="M25" s="145"/>
      <c r="N25" s="145"/>
      <c r="O25" s="24"/>
      <c r="P25" s="24"/>
      <c r="Q25" s="68"/>
    </row>
    <row r="26" spans="2:17" s="70" customFormat="1" x14ac:dyDescent="0.15">
      <c r="B26" s="86"/>
      <c r="C26" s="42"/>
      <c r="D26" s="94"/>
      <c r="E26" s="94" t="s">
        <v>256</v>
      </c>
      <c r="F26" s="229">
        <v>1</v>
      </c>
      <c r="G26" s="212">
        <v>84.5</v>
      </c>
      <c r="H26" s="212">
        <v>29.5</v>
      </c>
      <c r="I26" s="212">
        <v>1.63</v>
      </c>
      <c r="J26" s="66"/>
      <c r="K26" s="145">
        <f t="shared" si="2"/>
        <v>4063.18</v>
      </c>
      <c r="L26" s="24"/>
      <c r="M26" s="145"/>
      <c r="N26" s="145"/>
      <c r="O26" s="24"/>
      <c r="P26" s="24"/>
      <c r="Q26" s="68"/>
    </row>
    <row r="27" spans="2:17" s="70" customFormat="1" x14ac:dyDescent="0.15">
      <c r="B27" s="86"/>
      <c r="C27" s="42"/>
      <c r="D27" s="94"/>
      <c r="E27" s="95" t="s">
        <v>263</v>
      </c>
      <c r="F27" s="229">
        <v>1</v>
      </c>
      <c r="G27" s="212">
        <v>12.5</v>
      </c>
      <c r="H27" s="212">
        <v>8</v>
      </c>
      <c r="I27" s="212">
        <v>3.5</v>
      </c>
      <c r="J27" s="66"/>
      <c r="K27" s="145">
        <f t="shared" si="2"/>
        <v>350</v>
      </c>
      <c r="L27" s="24"/>
      <c r="M27" s="145"/>
      <c r="N27" s="145"/>
      <c r="O27" s="24"/>
      <c r="P27" s="24"/>
      <c r="Q27" s="68"/>
    </row>
    <row r="28" spans="2:17" s="70" customFormat="1" x14ac:dyDescent="0.15">
      <c r="B28" s="86"/>
      <c r="C28" s="42"/>
      <c r="D28" s="94"/>
      <c r="E28" s="95" t="s">
        <v>160</v>
      </c>
      <c r="F28" s="229">
        <v>1</v>
      </c>
      <c r="G28" s="212">
        <v>63</v>
      </c>
      <c r="H28" s="212">
        <v>1</v>
      </c>
      <c r="I28" s="212">
        <v>3.5</v>
      </c>
      <c r="J28" s="66"/>
      <c r="K28" s="145">
        <f t="shared" si="2"/>
        <v>220.5</v>
      </c>
      <c r="L28" s="24"/>
      <c r="M28" s="145"/>
      <c r="N28" s="145"/>
      <c r="O28" s="24"/>
      <c r="P28" s="24"/>
      <c r="Q28" s="68"/>
    </row>
    <row r="29" spans="2:17" s="70" customFormat="1" x14ac:dyDescent="0.15">
      <c r="B29" s="86"/>
      <c r="C29" s="42"/>
      <c r="D29" s="94"/>
      <c r="E29" s="95" t="s">
        <v>161</v>
      </c>
      <c r="F29" s="229">
        <v>2</v>
      </c>
      <c r="G29" s="212">
        <v>4.7</v>
      </c>
      <c r="H29" s="212">
        <v>3.12</v>
      </c>
      <c r="I29" s="212">
        <v>0.5</v>
      </c>
      <c r="J29" s="66"/>
      <c r="K29" s="145">
        <f t="shared" si="2"/>
        <v>14.66</v>
      </c>
      <c r="L29" s="24"/>
      <c r="M29" s="145"/>
      <c r="N29" s="145"/>
      <c r="O29" s="24"/>
      <c r="P29" s="24"/>
      <c r="Q29" s="68"/>
    </row>
    <row r="30" spans="2:17" s="70" customFormat="1" x14ac:dyDescent="0.15">
      <c r="B30" s="86"/>
      <c r="C30" s="42"/>
      <c r="D30" s="94"/>
      <c r="E30" s="95" t="s">
        <v>161</v>
      </c>
      <c r="F30" s="229">
        <v>1</v>
      </c>
      <c r="G30" s="212">
        <v>8.15</v>
      </c>
      <c r="H30" s="212">
        <v>2.17</v>
      </c>
      <c r="I30" s="212">
        <v>0.5</v>
      </c>
      <c r="J30" s="66"/>
      <c r="K30" s="145">
        <f t="shared" si="2"/>
        <v>8.84</v>
      </c>
      <c r="L30" s="24"/>
      <c r="M30" s="145"/>
      <c r="N30" s="145"/>
      <c r="O30" s="24"/>
      <c r="P30" s="24"/>
      <c r="Q30" s="68"/>
    </row>
    <row r="31" spans="2:17" s="70" customFormat="1" x14ac:dyDescent="0.15">
      <c r="B31" s="86"/>
      <c r="C31" s="42"/>
      <c r="D31" s="94"/>
      <c r="E31" s="95" t="s">
        <v>264</v>
      </c>
      <c r="F31" s="229">
        <v>-1</v>
      </c>
      <c r="G31" s="212">
        <f>K15</f>
        <v>287.83</v>
      </c>
      <c r="H31" s="212"/>
      <c r="I31" s="212"/>
      <c r="J31" s="66"/>
      <c r="K31" s="145">
        <f t="shared" ref="K31" si="3">ROUND(PRODUCT(F31:I31),2)</f>
        <v>-287.83</v>
      </c>
      <c r="L31" s="24"/>
      <c r="M31" s="145"/>
      <c r="N31" s="145"/>
      <c r="O31" s="24"/>
      <c r="P31" s="24"/>
      <c r="Q31" s="68"/>
    </row>
    <row r="32" spans="2:17" s="70" customFormat="1" x14ac:dyDescent="0.15">
      <c r="B32" s="86"/>
      <c r="C32" s="42"/>
      <c r="D32" s="94"/>
      <c r="E32" s="95"/>
      <c r="F32" s="229"/>
      <c r="G32" s="212"/>
      <c r="H32" s="212"/>
      <c r="I32" s="212"/>
      <c r="J32" s="66"/>
      <c r="K32" s="145"/>
      <c r="L32" s="24"/>
      <c r="M32" s="145"/>
      <c r="N32" s="145"/>
      <c r="O32" s="24"/>
      <c r="P32" s="24"/>
      <c r="Q32" s="68"/>
    </row>
    <row r="33" spans="2:17" s="70" customFormat="1" x14ac:dyDescent="0.15">
      <c r="B33" s="86"/>
      <c r="C33" s="42"/>
      <c r="D33" s="94"/>
      <c r="E33" s="24"/>
      <c r="F33" s="229"/>
      <c r="G33" s="212"/>
      <c r="H33" s="212"/>
      <c r="I33" s="212"/>
      <c r="J33" s="66"/>
      <c r="K33" s="145"/>
      <c r="L33" s="24"/>
      <c r="M33" s="145"/>
      <c r="N33" s="145"/>
      <c r="O33" s="24"/>
      <c r="P33" s="24"/>
      <c r="Q33" s="68"/>
    </row>
    <row r="34" spans="2:17" s="70" customFormat="1" x14ac:dyDescent="0.15">
      <c r="B34" s="86"/>
      <c r="C34" s="42"/>
      <c r="D34" s="94"/>
      <c r="E34" s="24" t="s">
        <v>23</v>
      </c>
      <c r="F34" s="229"/>
      <c r="G34" s="212"/>
      <c r="H34" s="212"/>
      <c r="I34" s="212"/>
      <c r="J34" s="66" t="s">
        <v>116</v>
      </c>
      <c r="K34" s="145">
        <f>ROUND(SUM(K24:K33),2)</f>
        <v>-4207.37</v>
      </c>
      <c r="L34" s="72">
        <v>6.38</v>
      </c>
      <c r="M34" s="145">
        <f>ROUND(PRODUCT(K34:L34),2)</f>
        <v>-26843.02</v>
      </c>
      <c r="N34" s="145"/>
      <c r="O34" s="24">
        <v>0.2</v>
      </c>
      <c r="P34" s="24">
        <f>O34*K34</f>
        <v>-841.47400000000005</v>
      </c>
      <c r="Q34" s="68"/>
    </row>
    <row r="35" spans="2:17" s="70" customFormat="1" x14ac:dyDescent="0.15">
      <c r="B35" s="86"/>
      <c r="C35" s="67"/>
      <c r="D35" s="23"/>
      <c r="E35" s="42"/>
      <c r="F35" s="228"/>
      <c r="G35" s="211"/>
      <c r="H35" s="211"/>
      <c r="I35" s="211"/>
      <c r="J35" s="42"/>
      <c r="K35" s="144"/>
      <c r="L35" s="67"/>
      <c r="M35" s="160"/>
      <c r="N35" s="144"/>
      <c r="O35" s="42"/>
      <c r="P35" s="42"/>
      <c r="Q35" s="68"/>
    </row>
    <row r="36" spans="2:17" s="70" customFormat="1" ht="31.5" x14ac:dyDescent="0.15">
      <c r="B36" s="86">
        <v>4</v>
      </c>
      <c r="C36" s="67"/>
      <c r="D36" s="94" t="s">
        <v>142</v>
      </c>
      <c r="E36" s="23" t="s">
        <v>125</v>
      </c>
      <c r="F36" s="229"/>
      <c r="G36" s="212"/>
      <c r="H36" s="212"/>
      <c r="I36" s="212"/>
      <c r="J36" s="24"/>
      <c r="K36" s="145"/>
      <c r="L36" s="72"/>
      <c r="M36" s="145"/>
      <c r="N36" s="145"/>
      <c r="O36" s="24"/>
      <c r="P36" s="42"/>
      <c r="Q36" s="68"/>
    </row>
    <row r="37" spans="2:17" s="70" customFormat="1" x14ac:dyDescent="0.15">
      <c r="B37" s="86"/>
      <c r="C37" s="67"/>
      <c r="D37" s="94"/>
      <c r="E37" s="23" t="s">
        <v>140</v>
      </c>
      <c r="F37" s="229"/>
      <c r="G37" s="212"/>
      <c r="H37" s="212"/>
      <c r="I37" s="212"/>
      <c r="J37" s="24"/>
      <c r="K37" s="145"/>
      <c r="L37" s="72"/>
      <c r="M37" s="145"/>
      <c r="N37" s="145"/>
      <c r="O37" s="24"/>
      <c r="P37" s="42"/>
      <c r="Q37" s="68"/>
    </row>
    <row r="38" spans="2:17" s="70" customFormat="1" ht="21" x14ac:dyDescent="0.15">
      <c r="B38" s="86"/>
      <c r="C38" s="67"/>
      <c r="D38" s="94"/>
      <c r="E38" s="95" t="s">
        <v>183</v>
      </c>
      <c r="F38" s="229">
        <v>-1</v>
      </c>
      <c r="G38" s="212">
        <f>(79.85+2.05)</f>
        <v>81.899999999999991</v>
      </c>
      <c r="H38" s="212">
        <f>(25.9+2.05)</f>
        <v>27.95</v>
      </c>
      <c r="I38" s="212">
        <v>2.0499999999999998</v>
      </c>
      <c r="J38" s="24"/>
      <c r="K38" s="145">
        <f>ROUND(PRODUCT(F38:I38),2)</f>
        <v>-4692.67</v>
      </c>
      <c r="L38" s="72" t="s">
        <v>8</v>
      </c>
      <c r="M38" s="145"/>
      <c r="N38" s="145"/>
      <c r="O38" s="24"/>
      <c r="P38" s="42"/>
      <c r="Q38" s="68"/>
    </row>
    <row r="39" spans="2:17" s="70" customFormat="1" x14ac:dyDescent="0.15">
      <c r="B39" s="86"/>
      <c r="C39" s="42"/>
      <c r="D39" s="94"/>
      <c r="E39" s="24"/>
      <c r="F39" s="229"/>
      <c r="G39" s="212"/>
      <c r="H39" s="212"/>
      <c r="I39" s="212"/>
      <c r="J39" s="66"/>
      <c r="K39" s="145"/>
      <c r="L39" s="24"/>
      <c r="M39" s="145"/>
      <c r="N39" s="145"/>
      <c r="O39" s="24"/>
      <c r="P39" s="24"/>
      <c r="Q39" s="68"/>
    </row>
    <row r="40" spans="2:17" s="70" customFormat="1" x14ac:dyDescent="0.15">
      <c r="B40" s="86"/>
      <c r="C40" s="42"/>
      <c r="D40" s="94"/>
      <c r="E40" s="24" t="s">
        <v>23</v>
      </c>
      <c r="F40" s="229"/>
      <c r="G40" s="212"/>
      <c r="H40" s="212"/>
      <c r="I40" s="212"/>
      <c r="J40" s="66" t="s">
        <v>116</v>
      </c>
      <c r="K40" s="145">
        <f>ROUND(SUM(K38:K39),2)</f>
        <v>-4692.67</v>
      </c>
      <c r="L40" s="72">
        <v>14</v>
      </c>
      <c r="M40" s="145">
        <f>ROUND(PRODUCT(K40:L40),2)</f>
        <v>-65697.38</v>
      </c>
      <c r="N40" s="145"/>
      <c r="O40" s="24">
        <v>0.2</v>
      </c>
      <c r="P40" s="24">
        <f>O40*K40</f>
        <v>-938.53400000000011</v>
      </c>
      <c r="Q40" s="68"/>
    </row>
    <row r="41" spans="2:17" s="70" customFormat="1" x14ac:dyDescent="0.15">
      <c r="B41" s="86"/>
      <c r="C41" s="67"/>
      <c r="D41" s="94"/>
      <c r="E41" s="95"/>
      <c r="F41" s="229"/>
      <c r="G41" s="212"/>
      <c r="H41" s="212"/>
      <c r="I41" s="212"/>
      <c r="J41" s="24"/>
      <c r="K41" s="145"/>
      <c r="L41" s="72"/>
      <c r="M41" s="145"/>
      <c r="N41" s="145"/>
      <c r="O41" s="24"/>
      <c r="P41" s="42"/>
      <c r="Q41" s="68"/>
    </row>
    <row r="42" spans="2:17" s="70" customFormat="1" ht="42" x14ac:dyDescent="0.15">
      <c r="B42" s="86">
        <v>5</v>
      </c>
      <c r="C42" s="67"/>
      <c r="D42" s="94" t="s">
        <v>270</v>
      </c>
      <c r="E42" s="95" t="s">
        <v>269</v>
      </c>
      <c r="F42" s="229"/>
      <c r="G42" s="212"/>
      <c r="H42" s="212"/>
      <c r="I42" s="212"/>
      <c r="J42" s="24"/>
      <c r="K42" s="145"/>
      <c r="L42" s="72"/>
      <c r="M42" s="145"/>
      <c r="N42" s="145"/>
      <c r="O42" s="24"/>
      <c r="P42" s="42"/>
      <c r="Q42" s="68"/>
    </row>
    <row r="43" spans="2:17" s="70" customFormat="1" ht="21" x14ac:dyDescent="0.15">
      <c r="B43" s="86"/>
      <c r="C43" s="67"/>
      <c r="D43" s="94"/>
      <c r="E43" s="95" t="s">
        <v>257</v>
      </c>
      <c r="F43" s="229">
        <v>1</v>
      </c>
      <c r="G43" s="212">
        <v>83</v>
      </c>
      <c r="H43" s="212">
        <v>29.5</v>
      </c>
      <c r="I43" s="212">
        <v>0.25</v>
      </c>
      <c r="J43" s="24"/>
      <c r="K43" s="145">
        <f>ROUND(PRODUCT(F43:I43),2)</f>
        <v>612.13</v>
      </c>
      <c r="L43" s="72"/>
      <c r="M43" s="145"/>
      <c r="N43" s="145"/>
      <c r="O43" s="24"/>
      <c r="P43" s="42"/>
      <c r="Q43" s="68"/>
    </row>
    <row r="44" spans="2:17" s="70" customFormat="1" x14ac:dyDescent="0.15">
      <c r="B44" s="86"/>
      <c r="C44" s="67"/>
      <c r="D44" s="94"/>
      <c r="E44" s="95" t="s">
        <v>295</v>
      </c>
      <c r="F44" s="229">
        <v>0.2</v>
      </c>
      <c r="G44" s="212"/>
      <c r="H44" s="212"/>
      <c r="I44" s="212"/>
      <c r="J44" s="24"/>
      <c r="K44" s="145">
        <f>K43*F44</f>
        <v>122.426</v>
      </c>
      <c r="L44" s="72"/>
      <c r="M44" s="145"/>
      <c r="N44" s="145"/>
      <c r="O44" s="24"/>
      <c r="P44" s="42"/>
      <c r="Q44" s="68"/>
    </row>
    <row r="45" spans="2:17" s="70" customFormat="1" x14ac:dyDescent="0.15">
      <c r="B45" s="86"/>
      <c r="C45" s="67"/>
      <c r="D45" s="94"/>
      <c r="E45" s="95"/>
      <c r="F45" s="229"/>
      <c r="G45" s="212"/>
      <c r="H45" s="212"/>
      <c r="I45" s="212"/>
      <c r="J45" s="24"/>
      <c r="K45" s="145"/>
      <c r="L45" s="72"/>
      <c r="M45" s="145"/>
      <c r="N45" s="145"/>
      <c r="O45" s="24"/>
      <c r="P45" s="42"/>
      <c r="Q45" s="68"/>
    </row>
    <row r="46" spans="2:17" s="70" customFormat="1" x14ac:dyDescent="0.15">
      <c r="B46" s="86"/>
      <c r="C46" s="42"/>
      <c r="D46" s="94"/>
      <c r="E46" s="24" t="s">
        <v>23</v>
      </c>
      <c r="F46" s="229"/>
      <c r="G46" s="212"/>
      <c r="H46" s="212"/>
      <c r="I46" s="212"/>
      <c r="J46" s="66" t="s">
        <v>116</v>
      </c>
      <c r="K46" s="145">
        <f>ROUND(SUM(K42:K45),2)</f>
        <v>734.56</v>
      </c>
      <c r="L46" s="72">
        <v>13.17</v>
      </c>
      <c r="M46" s="145">
        <f>ROUND(PRODUCT(K46:L46),2)</f>
        <v>9674.16</v>
      </c>
      <c r="N46" s="145"/>
      <c r="O46" s="24">
        <v>0.42</v>
      </c>
      <c r="P46" s="24">
        <f>O46*K46</f>
        <v>308.51519999999999</v>
      </c>
      <c r="Q46" s="68"/>
    </row>
    <row r="47" spans="2:17" s="70" customFormat="1" x14ac:dyDescent="0.15">
      <c r="B47" s="86"/>
      <c r="C47" s="42"/>
      <c r="D47" s="94"/>
      <c r="E47" s="24"/>
      <c r="F47" s="229"/>
      <c r="G47" s="212"/>
      <c r="H47" s="212"/>
      <c r="I47" s="212"/>
      <c r="J47" s="66"/>
      <c r="K47" s="145"/>
      <c r="L47" s="72"/>
      <c r="M47" s="145"/>
      <c r="N47" s="145"/>
      <c r="O47" s="24"/>
      <c r="P47" s="24"/>
      <c r="Q47" s="68"/>
    </row>
    <row r="48" spans="2:17" s="70" customFormat="1" ht="42" x14ac:dyDescent="0.15">
      <c r="B48" s="86">
        <v>6</v>
      </c>
      <c r="C48" s="67"/>
      <c r="D48" s="94" t="s">
        <v>270</v>
      </c>
      <c r="E48" s="95" t="s">
        <v>271</v>
      </c>
      <c r="F48" s="229"/>
      <c r="G48" s="212"/>
      <c r="H48" s="212"/>
      <c r="I48" s="212"/>
      <c r="J48" s="24"/>
      <c r="K48" s="145"/>
      <c r="L48" s="72"/>
      <c r="M48" s="145"/>
      <c r="N48" s="145"/>
      <c r="O48" s="24"/>
      <c r="P48" s="42"/>
      <c r="Q48" s="68"/>
    </row>
    <row r="49" spans="2:17" s="70" customFormat="1" ht="10.15" customHeight="1" x14ac:dyDescent="0.15">
      <c r="B49" s="86"/>
      <c r="C49" s="67"/>
      <c r="D49" s="94"/>
      <c r="E49" s="243" t="s">
        <v>162</v>
      </c>
      <c r="F49" s="229">
        <v>2</v>
      </c>
      <c r="G49" s="212">
        <v>84.5</v>
      </c>
      <c r="H49" s="212">
        <f>4.38+1.25</f>
        <v>5.63</v>
      </c>
      <c r="I49" s="212">
        <v>0.68</v>
      </c>
      <c r="J49" s="24"/>
      <c r="K49" s="145">
        <f>ROUND(PRODUCT(F49:I49),2)</f>
        <v>647</v>
      </c>
      <c r="L49" s="72"/>
      <c r="M49" s="145"/>
      <c r="N49" s="145"/>
      <c r="O49" s="24"/>
      <c r="P49" s="42"/>
      <c r="Q49" s="68"/>
    </row>
    <row r="50" spans="2:17" s="70" customFormat="1" x14ac:dyDescent="0.15">
      <c r="B50" s="86"/>
      <c r="C50" s="67"/>
      <c r="D50" s="94"/>
      <c r="E50" s="243"/>
      <c r="F50" s="229">
        <v>1</v>
      </c>
      <c r="G50" s="212">
        <v>5.51</v>
      </c>
      <c r="H50" s="212">
        <v>14.24</v>
      </c>
      <c r="I50" s="212">
        <v>0.68</v>
      </c>
      <c r="J50" s="24"/>
      <c r="K50" s="145">
        <f>ROUND(PRODUCT(F50:I50),2)</f>
        <v>53.35</v>
      </c>
      <c r="L50" s="72"/>
      <c r="M50" s="145"/>
      <c r="N50" s="145"/>
      <c r="O50" s="24"/>
      <c r="P50" s="42"/>
      <c r="Q50" s="68"/>
    </row>
    <row r="51" spans="2:17" s="70" customFormat="1" x14ac:dyDescent="0.15">
      <c r="B51" s="86"/>
      <c r="C51" s="67"/>
      <c r="D51" s="94"/>
      <c r="E51" s="95"/>
      <c r="F51" s="229">
        <v>1</v>
      </c>
      <c r="G51" s="212">
        <v>1.87</v>
      </c>
      <c r="H51" s="212">
        <v>14.24</v>
      </c>
      <c r="I51" s="212">
        <v>0.68</v>
      </c>
      <c r="J51" s="24"/>
      <c r="K51" s="145">
        <f t="shared" ref="K51:K53" si="4">ROUND(PRODUCT(F51:I51),2)</f>
        <v>18.11</v>
      </c>
      <c r="L51" s="72"/>
      <c r="M51" s="145"/>
      <c r="N51" s="145"/>
      <c r="O51" s="24"/>
      <c r="P51" s="42"/>
      <c r="Q51" s="68"/>
    </row>
    <row r="52" spans="2:17" s="70" customFormat="1" x14ac:dyDescent="0.15">
      <c r="B52" s="86"/>
      <c r="C52" s="67"/>
      <c r="D52" s="94"/>
      <c r="E52" s="95"/>
      <c r="F52" s="229">
        <v>1</v>
      </c>
      <c r="G52" s="212">
        <v>1.18</v>
      </c>
      <c r="H52" s="212">
        <v>14.24</v>
      </c>
      <c r="I52" s="212">
        <v>0.68</v>
      </c>
      <c r="J52" s="24"/>
      <c r="K52" s="145">
        <f t="shared" si="4"/>
        <v>11.43</v>
      </c>
      <c r="L52" s="72"/>
      <c r="M52" s="145"/>
      <c r="N52" s="145"/>
      <c r="O52" s="24"/>
      <c r="P52" s="42"/>
      <c r="Q52" s="68"/>
    </row>
    <row r="53" spans="2:17" s="70" customFormat="1" x14ac:dyDescent="0.15">
      <c r="B53" s="86"/>
      <c r="C53" s="67"/>
      <c r="D53" s="94"/>
      <c r="E53" s="95"/>
      <c r="F53" s="229">
        <v>1</v>
      </c>
      <c r="G53" s="212">
        <f>80+28+80+28</f>
        <v>216</v>
      </c>
      <c r="H53" s="212">
        <v>1.38</v>
      </c>
      <c r="I53" s="212">
        <f>1.38/2</f>
        <v>0.69</v>
      </c>
      <c r="J53" s="24"/>
      <c r="K53" s="145">
        <f t="shared" si="4"/>
        <v>205.68</v>
      </c>
      <c r="L53" s="72"/>
      <c r="M53" s="145"/>
      <c r="N53" s="145"/>
      <c r="O53" s="24"/>
      <c r="P53" s="42"/>
      <c r="Q53" s="68"/>
    </row>
    <row r="54" spans="2:17" s="70" customFormat="1" x14ac:dyDescent="0.15">
      <c r="B54" s="86"/>
      <c r="C54" s="67"/>
      <c r="D54" s="94"/>
      <c r="E54" s="95" t="s">
        <v>161</v>
      </c>
      <c r="F54" s="229">
        <v>2</v>
      </c>
      <c r="G54" s="212">
        <v>4.7</v>
      </c>
      <c r="H54" s="212">
        <v>3.12</v>
      </c>
      <c r="I54" s="212">
        <v>0.3</v>
      </c>
      <c r="J54" s="66"/>
      <c r="K54" s="145">
        <f>ROUND(PRODUCT(F54:I54),2)</f>
        <v>8.8000000000000007</v>
      </c>
      <c r="L54" s="24"/>
      <c r="M54" s="145"/>
      <c r="N54" s="145"/>
      <c r="O54" s="24"/>
      <c r="P54" s="24"/>
      <c r="Q54" s="68"/>
    </row>
    <row r="55" spans="2:17" s="70" customFormat="1" x14ac:dyDescent="0.15">
      <c r="B55" s="86"/>
      <c r="C55" s="67"/>
      <c r="D55" s="94"/>
      <c r="E55" s="95" t="s">
        <v>161</v>
      </c>
      <c r="F55" s="229">
        <v>1</v>
      </c>
      <c r="G55" s="212">
        <v>8.15</v>
      </c>
      <c r="H55" s="212">
        <v>2.17</v>
      </c>
      <c r="I55" s="212">
        <v>0.3</v>
      </c>
      <c r="J55" s="66"/>
      <c r="K55" s="145">
        <f>ROUND(PRODUCT(F55:I55),2)</f>
        <v>5.31</v>
      </c>
      <c r="L55" s="24"/>
      <c r="M55" s="145"/>
      <c r="N55" s="145"/>
      <c r="O55" s="24"/>
      <c r="P55" s="24"/>
      <c r="Q55" s="68"/>
    </row>
    <row r="56" spans="2:17" s="70" customFormat="1" x14ac:dyDescent="0.15">
      <c r="B56" s="86"/>
      <c r="C56" s="67"/>
      <c r="D56" s="94"/>
      <c r="E56" s="24"/>
      <c r="F56" s="229"/>
      <c r="G56" s="212"/>
      <c r="H56" s="212"/>
      <c r="I56" s="212"/>
      <c r="J56" s="24"/>
      <c r="K56" s="145"/>
      <c r="L56" s="72"/>
      <c r="M56" s="145"/>
      <c r="N56" s="145"/>
      <c r="O56" s="24"/>
      <c r="P56" s="42"/>
      <c r="Q56" s="68"/>
    </row>
    <row r="57" spans="2:17" s="70" customFormat="1" x14ac:dyDescent="0.15">
      <c r="B57" s="86"/>
      <c r="C57" s="67"/>
      <c r="D57" s="94"/>
      <c r="E57" s="24" t="s">
        <v>23</v>
      </c>
      <c r="F57" s="229"/>
      <c r="G57" s="212"/>
      <c r="H57" s="212"/>
      <c r="I57" s="212"/>
      <c r="J57" s="24" t="s">
        <v>116</v>
      </c>
      <c r="K57" s="145">
        <f>ROUND(SUM(K49:K56),2)</f>
        <v>949.68</v>
      </c>
      <c r="L57" s="72">
        <v>26.25</v>
      </c>
      <c r="M57" s="145">
        <f>ROUND(PRODUCT(K57:L57),2)</f>
        <v>24929.1</v>
      </c>
      <c r="N57" s="145"/>
      <c r="O57" s="24">
        <v>0.84</v>
      </c>
      <c r="P57" s="42">
        <f>O57*K57</f>
        <v>797.73119999999994</v>
      </c>
      <c r="Q57" s="68"/>
    </row>
    <row r="58" spans="2:17" s="70" customFormat="1" x14ac:dyDescent="0.15">
      <c r="B58" s="86"/>
      <c r="C58" s="67"/>
      <c r="D58" s="94"/>
      <c r="E58" s="24"/>
      <c r="F58" s="229"/>
      <c r="G58" s="212"/>
      <c r="H58" s="212"/>
      <c r="I58" s="212"/>
      <c r="J58" s="24"/>
      <c r="K58" s="145"/>
      <c r="L58" s="72"/>
      <c r="M58" s="145"/>
      <c r="N58" s="145"/>
      <c r="O58" s="24"/>
      <c r="P58" s="42"/>
      <c r="Q58" s="68"/>
    </row>
    <row r="59" spans="2:17" s="70" customFormat="1" ht="42" x14ac:dyDescent="0.15">
      <c r="B59" s="86">
        <v>7</v>
      </c>
      <c r="C59" s="67"/>
      <c r="D59" s="23" t="s">
        <v>24</v>
      </c>
      <c r="E59" s="23" t="s">
        <v>25</v>
      </c>
      <c r="F59" s="228"/>
      <c r="G59" s="211"/>
      <c r="H59" s="211"/>
      <c r="I59" s="211"/>
      <c r="J59" s="43"/>
      <c r="K59" s="144"/>
      <c r="L59" s="67"/>
      <c r="M59" s="160"/>
      <c r="N59" s="144"/>
      <c r="O59" s="42"/>
      <c r="P59" s="42"/>
      <c r="Q59" s="68"/>
    </row>
    <row r="60" spans="2:17" s="70" customFormat="1" x14ac:dyDescent="0.15">
      <c r="B60" s="86"/>
      <c r="C60" s="67"/>
      <c r="D60" s="23"/>
      <c r="E60" s="23" t="s">
        <v>17</v>
      </c>
      <c r="F60" s="228"/>
      <c r="G60" s="211"/>
      <c r="H60" s="211"/>
      <c r="I60" s="211"/>
      <c r="J60" s="43"/>
      <c r="K60" s="144"/>
      <c r="L60" s="67"/>
      <c r="M60" s="160"/>
      <c r="N60" s="144"/>
      <c r="O60" s="42"/>
      <c r="P60" s="42"/>
      <c r="Q60" s="68"/>
    </row>
    <row r="61" spans="2:17" s="70" customFormat="1" ht="21" x14ac:dyDescent="0.15">
      <c r="B61" s="86"/>
      <c r="C61" s="67"/>
      <c r="D61" s="23"/>
      <c r="E61" s="23" t="s">
        <v>131</v>
      </c>
      <c r="F61" s="228">
        <v>-1</v>
      </c>
      <c r="G61" s="211">
        <v>2826.4</v>
      </c>
      <c r="H61" s="211"/>
      <c r="I61" s="211"/>
      <c r="J61" s="43"/>
      <c r="K61" s="144">
        <f>ROUND(PRODUCT(F61:I61),2)</f>
        <v>-2826.4</v>
      </c>
      <c r="L61" s="67"/>
      <c r="M61" s="160"/>
      <c r="N61" s="144"/>
      <c r="O61" s="42"/>
      <c r="P61" s="42"/>
      <c r="Q61" s="68"/>
    </row>
    <row r="62" spans="2:17" s="70" customFormat="1" x14ac:dyDescent="0.15">
      <c r="B62" s="86"/>
      <c r="C62" s="67"/>
      <c r="D62" s="23"/>
      <c r="E62" s="42"/>
      <c r="F62" s="228"/>
      <c r="G62" s="211"/>
      <c r="H62" s="211"/>
      <c r="I62" s="211"/>
      <c r="J62" s="43"/>
      <c r="K62" s="144">
        <f>ROUND(PRODUCT(F62:I62),2)</f>
        <v>0</v>
      </c>
      <c r="L62" s="67"/>
      <c r="M62" s="160"/>
      <c r="N62" s="144"/>
      <c r="O62" s="42"/>
      <c r="P62" s="42"/>
      <c r="Q62" s="68"/>
    </row>
    <row r="63" spans="2:17" s="70" customFormat="1" x14ac:dyDescent="0.15">
      <c r="B63" s="86"/>
      <c r="C63" s="67"/>
      <c r="D63" s="23"/>
      <c r="E63" s="42" t="s">
        <v>23</v>
      </c>
      <c r="F63" s="228"/>
      <c r="G63" s="211"/>
      <c r="H63" s="211"/>
      <c r="I63" s="211"/>
      <c r="J63" s="43" t="s">
        <v>116</v>
      </c>
      <c r="K63" s="144">
        <f>ROUND(SUM(K60:K62),2)</f>
        <v>-2826.4</v>
      </c>
      <c r="L63" s="67">
        <v>2.65</v>
      </c>
      <c r="M63" s="160">
        <f>ROUND(PRODUCT(K63:L63),2)</f>
        <v>-7489.96</v>
      </c>
      <c r="N63" s="144"/>
      <c r="O63" s="42">
        <v>0.09</v>
      </c>
      <c r="P63" s="42">
        <f>O63*K63</f>
        <v>-254.376</v>
      </c>
      <c r="Q63" s="68"/>
    </row>
    <row r="64" spans="2:17" s="70" customFormat="1" x14ac:dyDescent="0.15">
      <c r="B64" s="86"/>
      <c r="C64" s="67"/>
      <c r="D64" s="23"/>
      <c r="E64" s="23"/>
      <c r="F64" s="228"/>
      <c r="G64" s="211"/>
      <c r="H64" s="211"/>
      <c r="I64" s="211"/>
      <c r="J64" s="43"/>
      <c r="K64" s="144"/>
      <c r="L64" s="67"/>
      <c r="M64" s="160"/>
      <c r="N64" s="144"/>
      <c r="O64" s="42"/>
      <c r="P64" s="42"/>
      <c r="Q64" s="68"/>
    </row>
    <row r="65" spans="2:17" s="70" customFormat="1" x14ac:dyDescent="0.15">
      <c r="B65" s="88">
        <v>8</v>
      </c>
      <c r="C65" s="71"/>
      <c r="D65" s="23"/>
      <c r="E65" s="23" t="s">
        <v>68</v>
      </c>
      <c r="F65" s="228"/>
      <c r="G65" s="211"/>
      <c r="H65" s="211"/>
      <c r="I65" s="211"/>
      <c r="J65" s="44"/>
      <c r="K65" s="146"/>
      <c r="L65" s="69"/>
      <c r="M65" s="161"/>
      <c r="N65" s="145"/>
      <c r="O65" s="24"/>
      <c r="P65" s="42"/>
      <c r="Q65" s="68"/>
    </row>
    <row r="66" spans="2:17" s="70" customFormat="1" x14ac:dyDescent="0.15">
      <c r="B66" s="88"/>
      <c r="C66" s="71"/>
      <c r="D66" s="23"/>
      <c r="E66" s="23" t="s">
        <v>17</v>
      </c>
      <c r="F66" s="228"/>
      <c r="G66" s="211"/>
      <c r="H66" s="211"/>
      <c r="I66" s="211"/>
      <c r="J66" s="44"/>
      <c r="K66" s="146"/>
      <c r="L66" s="69"/>
      <c r="M66" s="161"/>
      <c r="N66" s="145"/>
      <c r="O66" s="24"/>
      <c r="P66" s="42"/>
      <c r="Q66" s="68"/>
    </row>
    <row r="67" spans="2:17" s="70" customFormat="1" x14ac:dyDescent="0.15">
      <c r="B67" s="88"/>
      <c r="C67" s="71"/>
      <c r="D67" s="23"/>
      <c r="E67" s="23" t="s">
        <v>69</v>
      </c>
      <c r="F67" s="228">
        <v>-1</v>
      </c>
      <c r="G67" s="211"/>
      <c r="H67" s="211"/>
      <c r="I67" s="211"/>
      <c r="J67" s="44"/>
      <c r="K67" s="144">
        <v>-9242.7999999999993</v>
      </c>
      <c r="L67" s="69"/>
      <c r="M67" s="160"/>
      <c r="N67" s="145"/>
      <c r="O67" s="42"/>
      <c r="P67" s="42">
        <f>O67*K67</f>
        <v>0</v>
      </c>
      <c r="Q67" s="68"/>
    </row>
    <row r="68" spans="2:17" s="70" customFormat="1" x14ac:dyDescent="0.15">
      <c r="B68" s="86"/>
      <c r="C68" s="67"/>
      <c r="D68" s="23"/>
      <c r="E68" s="42"/>
      <c r="F68" s="228"/>
      <c r="G68" s="211"/>
      <c r="H68" s="211"/>
      <c r="I68" s="211"/>
      <c r="J68" s="43"/>
      <c r="K68" s="144">
        <f>ROUND(PRODUCT(F68:I68),2)</f>
        <v>0</v>
      </c>
      <c r="L68" s="69"/>
      <c r="M68" s="160"/>
      <c r="N68" s="144"/>
      <c r="O68" s="42"/>
      <c r="P68" s="42"/>
      <c r="Q68" s="68"/>
    </row>
    <row r="69" spans="2:17" s="70" customFormat="1" x14ac:dyDescent="0.15">
      <c r="B69" s="86"/>
      <c r="C69" s="67"/>
      <c r="D69" s="23"/>
      <c r="E69" s="42" t="s">
        <v>23</v>
      </c>
      <c r="F69" s="228"/>
      <c r="G69" s="211"/>
      <c r="H69" s="211"/>
      <c r="I69" s="211"/>
      <c r="J69" s="43" t="s">
        <v>116</v>
      </c>
      <c r="K69" s="144">
        <f>ROUND(SUM(K66:K68),2)</f>
        <v>-9242.7999999999993</v>
      </c>
      <c r="L69" s="69">
        <v>10.57</v>
      </c>
      <c r="M69" s="160">
        <f t="shared" ref="M69" si="5">ROUND(PRODUCT(K69:L69),2)</f>
        <v>-97696.4</v>
      </c>
      <c r="N69" s="144"/>
      <c r="O69" s="42"/>
      <c r="P69" s="42">
        <f>O69*K69</f>
        <v>0</v>
      </c>
      <c r="Q69" s="68"/>
    </row>
    <row r="70" spans="2:17" s="70" customFormat="1" x14ac:dyDescent="0.15">
      <c r="B70" s="86"/>
      <c r="C70" s="67"/>
      <c r="D70" s="23"/>
      <c r="E70" s="23"/>
      <c r="F70" s="228"/>
      <c r="G70" s="211"/>
      <c r="H70" s="211"/>
      <c r="I70" s="211"/>
      <c r="J70" s="43"/>
      <c r="K70" s="144"/>
      <c r="L70" s="67"/>
      <c r="M70" s="160"/>
      <c r="N70" s="144"/>
      <c r="O70" s="42"/>
      <c r="P70" s="42"/>
      <c r="Q70" s="68"/>
    </row>
    <row r="71" spans="2:17" s="70" customFormat="1" x14ac:dyDescent="0.15">
      <c r="B71" s="88"/>
      <c r="C71" s="71"/>
      <c r="D71" s="23"/>
      <c r="E71" s="23"/>
      <c r="F71" s="228"/>
      <c r="G71" s="211"/>
      <c r="H71" s="211"/>
      <c r="I71" s="211"/>
      <c r="J71" s="44"/>
      <c r="K71" s="144"/>
      <c r="L71" s="69"/>
      <c r="M71" s="160"/>
      <c r="N71" s="145"/>
      <c r="O71" s="42"/>
      <c r="P71" s="42"/>
      <c r="Q71" s="68"/>
    </row>
    <row r="72" spans="2:17" s="70" customFormat="1" x14ac:dyDescent="0.15">
      <c r="B72" s="88"/>
      <c r="C72" s="71"/>
      <c r="D72" s="23"/>
      <c r="E72" s="23" t="s">
        <v>280</v>
      </c>
      <c r="F72" s="228"/>
      <c r="G72" s="211"/>
      <c r="H72" s="211"/>
      <c r="I72" s="211"/>
      <c r="J72" s="44"/>
      <c r="K72" s="144"/>
      <c r="L72" s="69"/>
      <c r="M72" s="160"/>
      <c r="N72" s="145"/>
      <c r="O72" s="42"/>
      <c r="P72" s="42"/>
      <c r="Q72" s="68"/>
    </row>
    <row r="73" spans="2:17" s="70" customFormat="1" ht="42" customHeight="1" x14ac:dyDescent="0.15">
      <c r="B73" s="97">
        <v>9</v>
      </c>
      <c r="C73" s="98"/>
      <c r="D73" s="99" t="s">
        <v>274</v>
      </c>
      <c r="E73" s="100" t="s">
        <v>277</v>
      </c>
      <c r="F73" s="230"/>
      <c r="G73" s="213"/>
      <c r="H73" s="213"/>
      <c r="I73" s="213">
        <f>K74+K75+K76</f>
        <v>7852.65</v>
      </c>
      <c r="J73" s="44" t="s">
        <v>117</v>
      </c>
      <c r="K73" s="146">
        <f t="shared" ref="K73:K78" si="6">ROUND(PRODUCT(F73:I73),2)</f>
        <v>7852.65</v>
      </c>
      <c r="L73" s="69">
        <v>2.0499999999999998</v>
      </c>
      <c r="M73" s="161">
        <f>ROUND(PRODUCT(K73:L73),2)</f>
        <v>16097.93</v>
      </c>
      <c r="N73" s="146"/>
      <c r="O73" s="96"/>
      <c r="P73" s="96">
        <f t="shared" ref="P73:P78" si="7">O73*K73</f>
        <v>0</v>
      </c>
      <c r="Q73" s="68"/>
    </row>
    <row r="74" spans="2:17" s="70" customFormat="1" ht="46.15" customHeight="1" x14ac:dyDescent="0.15">
      <c r="B74" s="97">
        <v>10</v>
      </c>
      <c r="C74" s="98"/>
      <c r="D74" s="99" t="s">
        <v>275</v>
      </c>
      <c r="E74" s="100" t="s">
        <v>299</v>
      </c>
      <c r="F74" s="230">
        <f>SUM(K26:K31)-F78-K95</f>
        <v>4240.9500000000007</v>
      </c>
      <c r="G74" s="213"/>
      <c r="H74" s="213"/>
      <c r="I74" s="213">
        <v>1.7</v>
      </c>
      <c r="J74" s="44" t="s">
        <v>117</v>
      </c>
      <c r="K74" s="146">
        <f t="shared" si="6"/>
        <v>7209.62</v>
      </c>
      <c r="L74" s="69">
        <v>13.5</v>
      </c>
      <c r="M74" s="161">
        <f>ROUND(PRODUCT(K74:L74),2)</f>
        <v>97329.87</v>
      </c>
      <c r="N74" s="146"/>
      <c r="O74" s="96"/>
      <c r="P74" s="96">
        <f t="shared" si="7"/>
        <v>0</v>
      </c>
      <c r="Q74" s="68"/>
    </row>
    <row r="75" spans="2:17" s="70" customFormat="1" ht="46.15" customHeight="1" x14ac:dyDescent="0.15">
      <c r="B75" s="97">
        <v>11</v>
      </c>
      <c r="C75" s="98"/>
      <c r="D75" s="99" t="s">
        <v>273</v>
      </c>
      <c r="E75" s="100" t="s">
        <v>300</v>
      </c>
      <c r="F75" s="230">
        <f>K15</f>
        <v>287.83</v>
      </c>
      <c r="G75" s="213"/>
      <c r="H75" s="213"/>
      <c r="I75" s="213">
        <v>1.65</v>
      </c>
      <c r="J75" s="44" t="s">
        <v>117</v>
      </c>
      <c r="K75" s="146">
        <f t="shared" si="6"/>
        <v>474.92</v>
      </c>
      <c r="L75" s="69">
        <v>13.5</v>
      </c>
      <c r="M75" s="161">
        <f t="shared" ref="M75:M76" si="8">ROUND(PRODUCT(K75:L75),2)</f>
        <v>6411.42</v>
      </c>
      <c r="N75" s="146"/>
      <c r="O75" s="96"/>
      <c r="P75" s="96">
        <f t="shared" si="7"/>
        <v>0</v>
      </c>
      <c r="Q75" s="68"/>
    </row>
    <row r="76" spans="2:17" s="70" customFormat="1" ht="46.15" customHeight="1" x14ac:dyDescent="0.15">
      <c r="B76" s="97">
        <v>12</v>
      </c>
      <c r="C76" s="98"/>
      <c r="D76" s="99" t="s">
        <v>276</v>
      </c>
      <c r="E76" s="100" t="s">
        <v>302</v>
      </c>
      <c r="F76" s="230">
        <f>(K21*0.045)+K95</f>
        <v>70.045000000000002</v>
      </c>
      <c r="G76" s="213"/>
      <c r="H76" s="213"/>
      <c r="I76" s="213">
        <v>2.4</v>
      </c>
      <c r="J76" s="44" t="s">
        <v>117</v>
      </c>
      <c r="K76" s="146">
        <f t="shared" si="6"/>
        <v>168.11</v>
      </c>
      <c r="L76" s="69">
        <v>13.5</v>
      </c>
      <c r="M76" s="161">
        <f t="shared" si="8"/>
        <v>2269.4899999999998</v>
      </c>
      <c r="N76" s="146"/>
      <c r="O76" s="96"/>
      <c r="P76" s="96">
        <f t="shared" si="7"/>
        <v>0</v>
      </c>
      <c r="Q76" s="68"/>
    </row>
    <row r="77" spans="2:17" s="70" customFormat="1" ht="42" customHeight="1" x14ac:dyDescent="0.15">
      <c r="B77" s="97">
        <v>13</v>
      </c>
      <c r="C77" s="98"/>
      <c r="D77" s="99" t="s">
        <v>279</v>
      </c>
      <c r="E77" s="100" t="s">
        <v>278</v>
      </c>
      <c r="F77" s="230">
        <v>80</v>
      </c>
      <c r="G77" s="213"/>
      <c r="H77" s="213"/>
      <c r="I77" s="213">
        <v>1.7</v>
      </c>
      <c r="J77" s="44" t="s">
        <v>117</v>
      </c>
      <c r="K77" s="146">
        <f t="shared" si="6"/>
        <v>136</v>
      </c>
      <c r="L77" s="69">
        <v>5.2</v>
      </c>
      <c r="M77" s="161">
        <f>ROUND(PRODUCT(K77:L77),2)</f>
        <v>707.2</v>
      </c>
      <c r="N77" s="146"/>
      <c r="O77" s="96"/>
      <c r="P77" s="96">
        <f t="shared" si="7"/>
        <v>0</v>
      </c>
      <c r="Q77" s="68"/>
    </row>
    <row r="78" spans="2:17" s="70" customFormat="1" ht="46.15" customHeight="1" x14ac:dyDescent="0.15">
      <c r="B78" s="97">
        <v>14</v>
      </c>
      <c r="C78" s="98"/>
      <c r="D78" s="99" t="s">
        <v>281</v>
      </c>
      <c r="E78" s="100" t="s">
        <v>301</v>
      </c>
      <c r="F78" s="230">
        <v>80</v>
      </c>
      <c r="G78" s="213"/>
      <c r="H78" s="213"/>
      <c r="I78" s="213">
        <v>1.7</v>
      </c>
      <c r="J78" s="44" t="s">
        <v>117</v>
      </c>
      <c r="K78" s="146">
        <f t="shared" si="6"/>
        <v>136</v>
      </c>
      <c r="L78" s="69">
        <v>130</v>
      </c>
      <c r="M78" s="161">
        <f t="shared" ref="M78" si="9">ROUND(PRODUCT(K78:L78),2)</f>
        <v>17680</v>
      </c>
      <c r="N78" s="146"/>
      <c r="O78" s="96"/>
      <c r="P78" s="96">
        <f t="shared" si="7"/>
        <v>0</v>
      </c>
      <c r="Q78" s="68"/>
    </row>
    <row r="79" spans="2:17" s="70" customFormat="1" x14ac:dyDescent="0.15">
      <c r="B79" s="88"/>
      <c r="C79" s="71"/>
      <c r="D79" s="23"/>
      <c r="E79" s="23"/>
      <c r="F79" s="230"/>
      <c r="G79" s="213"/>
      <c r="H79" s="213"/>
      <c r="I79" s="213"/>
      <c r="J79" s="44"/>
      <c r="K79" s="146"/>
      <c r="L79" s="69"/>
      <c r="M79" s="161"/>
      <c r="N79" s="146"/>
      <c r="O79" s="96"/>
      <c r="P79" s="96"/>
      <c r="Q79" s="68"/>
    </row>
    <row r="80" spans="2:17" s="70" customFormat="1" x14ac:dyDescent="0.15">
      <c r="B80" s="88"/>
      <c r="C80" s="71"/>
      <c r="D80" s="23"/>
      <c r="E80" s="23"/>
      <c r="F80" s="230"/>
      <c r="G80" s="213"/>
      <c r="H80" s="213"/>
      <c r="I80" s="213"/>
      <c r="J80" s="44"/>
      <c r="K80" s="146"/>
      <c r="L80" s="69"/>
      <c r="M80" s="161"/>
      <c r="N80" s="146"/>
      <c r="O80" s="96"/>
      <c r="P80" s="96"/>
      <c r="Q80" s="68"/>
    </row>
    <row r="81" spans="2:17" s="70" customFormat="1" x14ac:dyDescent="0.15">
      <c r="B81" s="88"/>
      <c r="C81" s="71"/>
      <c r="D81" s="23"/>
      <c r="E81" s="23"/>
      <c r="F81" s="228"/>
      <c r="G81" s="211"/>
      <c r="H81" s="211"/>
      <c r="I81" s="213"/>
      <c r="J81" s="44"/>
      <c r="K81" s="146"/>
      <c r="L81" s="69"/>
      <c r="M81" s="161"/>
      <c r="N81" s="146"/>
      <c r="O81" s="96"/>
      <c r="P81" s="96"/>
      <c r="Q81" s="68"/>
    </row>
    <row r="82" spans="2:17" s="70" customFormat="1" ht="105" x14ac:dyDescent="0.15">
      <c r="B82" s="86">
        <v>15</v>
      </c>
      <c r="C82" s="67"/>
      <c r="D82" s="23" t="s">
        <v>164</v>
      </c>
      <c r="E82" s="23" t="s">
        <v>163</v>
      </c>
      <c r="F82" s="228"/>
      <c r="G82" s="211"/>
      <c r="H82" s="211"/>
      <c r="I82" s="211"/>
      <c r="J82" s="43"/>
      <c r="K82" s="144"/>
      <c r="L82" s="67"/>
      <c r="M82" s="160"/>
      <c r="N82" s="144"/>
      <c r="O82" s="42"/>
      <c r="P82" s="42"/>
      <c r="Q82" s="68"/>
    </row>
    <row r="83" spans="2:17" s="70" customFormat="1" x14ac:dyDescent="0.15">
      <c r="B83" s="86"/>
      <c r="C83" s="67"/>
      <c r="D83" s="23"/>
      <c r="E83" s="23" t="s">
        <v>165</v>
      </c>
      <c r="F83" s="228"/>
      <c r="G83" s="211"/>
      <c r="H83" s="211"/>
      <c r="I83" s="211"/>
      <c r="J83" s="43"/>
      <c r="K83" s="144"/>
      <c r="L83" s="67"/>
      <c r="M83" s="160"/>
      <c r="N83" s="144"/>
      <c r="O83" s="42"/>
      <c r="P83" s="42"/>
      <c r="Q83" s="68"/>
    </row>
    <row r="84" spans="2:17" s="70" customFormat="1" x14ac:dyDescent="0.15">
      <c r="B84" s="86"/>
      <c r="C84" s="67"/>
      <c r="D84" s="23"/>
      <c r="E84" s="23" t="s">
        <v>17</v>
      </c>
      <c r="F84" s="228"/>
      <c r="G84" s="211"/>
      <c r="H84" s="211"/>
      <c r="I84" s="211"/>
      <c r="J84" s="43"/>
      <c r="K84" s="144"/>
      <c r="L84" s="67"/>
      <c r="M84" s="160"/>
      <c r="N84" s="144"/>
      <c r="O84" s="42"/>
      <c r="P84" s="42"/>
      <c r="Q84" s="68"/>
    </row>
    <row r="85" spans="2:17" s="70" customFormat="1" x14ac:dyDescent="0.15">
      <c r="B85" s="86"/>
      <c r="C85" s="67"/>
      <c r="D85" s="23"/>
      <c r="E85" s="23"/>
      <c r="F85" s="228">
        <v>4</v>
      </c>
      <c r="G85" s="211">
        <v>1</v>
      </c>
      <c r="H85" s="211">
        <v>1</v>
      </c>
      <c r="I85" s="211">
        <v>2.4300000000000002</v>
      </c>
      <c r="J85" s="43"/>
      <c r="K85" s="144">
        <f>ROUND(PRODUCT(F85:I85),2)</f>
        <v>9.7200000000000006</v>
      </c>
      <c r="L85" s="67"/>
      <c r="M85" s="160"/>
      <c r="N85" s="144"/>
      <c r="O85" s="42"/>
      <c r="P85" s="42"/>
      <c r="Q85" s="68"/>
    </row>
    <row r="86" spans="2:17" s="70" customFormat="1" x14ac:dyDescent="0.15">
      <c r="B86" s="86"/>
      <c r="C86" s="67"/>
      <c r="D86" s="23"/>
      <c r="E86" s="23"/>
      <c r="F86" s="228">
        <v>1</v>
      </c>
      <c r="G86" s="211">
        <v>0.8</v>
      </c>
      <c r="H86" s="211">
        <v>1</v>
      </c>
      <c r="I86" s="211">
        <v>0.8</v>
      </c>
      <c r="J86" s="43"/>
      <c r="K86" s="144">
        <f t="shared" ref="K86:K89" si="10">ROUND(PRODUCT(F86:I86),2)</f>
        <v>0.64</v>
      </c>
      <c r="L86" s="67"/>
      <c r="M86" s="160"/>
      <c r="N86" s="144"/>
      <c r="O86" s="42"/>
      <c r="P86" s="42"/>
      <c r="Q86" s="68"/>
    </row>
    <row r="87" spans="2:17" s="70" customFormat="1" x14ac:dyDescent="0.15">
      <c r="B87" s="86"/>
      <c r="C87" s="67"/>
      <c r="D87" s="23"/>
      <c r="E87" s="42"/>
      <c r="F87" s="228">
        <v>1</v>
      </c>
      <c r="G87" s="211">
        <v>1</v>
      </c>
      <c r="H87" s="211">
        <v>1</v>
      </c>
      <c r="I87" s="211">
        <v>0.9</v>
      </c>
      <c r="J87" s="43"/>
      <c r="K87" s="144">
        <f t="shared" si="10"/>
        <v>0.9</v>
      </c>
      <c r="L87" s="67"/>
      <c r="M87" s="160"/>
      <c r="N87" s="144"/>
      <c r="O87" s="42"/>
      <c r="P87" s="42"/>
      <c r="Q87" s="68"/>
    </row>
    <row r="88" spans="2:17" s="70" customFormat="1" x14ac:dyDescent="0.15">
      <c r="B88" s="86"/>
      <c r="C88" s="67"/>
      <c r="D88" s="23"/>
      <c r="E88" s="23"/>
      <c r="F88" s="228">
        <v>1</v>
      </c>
      <c r="G88" s="211">
        <v>2.15</v>
      </c>
      <c r="H88" s="211">
        <v>2.25</v>
      </c>
      <c r="I88" s="211">
        <v>0.9</v>
      </c>
      <c r="J88" s="43"/>
      <c r="K88" s="144">
        <f t="shared" si="10"/>
        <v>4.3499999999999996</v>
      </c>
      <c r="L88" s="67"/>
      <c r="M88" s="160"/>
      <c r="N88" s="144"/>
      <c r="O88" s="42"/>
      <c r="P88" s="42"/>
      <c r="Q88" s="68"/>
    </row>
    <row r="89" spans="2:17" s="70" customFormat="1" x14ac:dyDescent="0.15">
      <c r="B89" s="86"/>
      <c r="C89" s="67"/>
      <c r="D89" s="23"/>
      <c r="E89" s="23"/>
      <c r="F89" s="228">
        <v>2</v>
      </c>
      <c r="G89" s="211">
        <v>2.2000000000000002</v>
      </c>
      <c r="H89" s="211">
        <v>2.17</v>
      </c>
      <c r="I89" s="211">
        <v>0.9</v>
      </c>
      <c r="J89" s="43"/>
      <c r="K89" s="144">
        <f t="shared" si="10"/>
        <v>8.59</v>
      </c>
      <c r="L89" s="67"/>
      <c r="M89" s="160"/>
      <c r="N89" s="144"/>
      <c r="O89" s="42"/>
      <c r="P89" s="42"/>
      <c r="Q89" s="68"/>
    </row>
    <row r="90" spans="2:17" s="70" customFormat="1" x14ac:dyDescent="0.15">
      <c r="B90" s="86"/>
      <c r="C90" s="67"/>
      <c r="D90" s="23"/>
      <c r="E90" s="23"/>
      <c r="F90" s="228">
        <v>4</v>
      </c>
      <c r="G90" s="211">
        <v>1</v>
      </c>
      <c r="H90" s="211">
        <v>1</v>
      </c>
      <c r="I90" s="211">
        <v>2.4300000000000002</v>
      </c>
      <c r="J90" s="43"/>
      <c r="K90" s="144">
        <f>ROUND(PRODUCT(F90:I90),2)</f>
        <v>9.7200000000000006</v>
      </c>
      <c r="L90" s="67"/>
      <c r="M90" s="160"/>
      <c r="N90" s="144"/>
      <c r="O90" s="42"/>
      <c r="P90" s="42"/>
      <c r="Q90" s="68"/>
    </row>
    <row r="91" spans="2:17" s="70" customFormat="1" x14ac:dyDescent="0.15">
      <c r="B91" s="86"/>
      <c r="C91" s="67"/>
      <c r="D91" s="23"/>
      <c r="E91" s="23"/>
      <c r="F91" s="228">
        <v>1</v>
      </c>
      <c r="G91" s="211">
        <v>0.8</v>
      </c>
      <c r="H91" s="211">
        <v>1</v>
      </c>
      <c r="I91" s="211">
        <v>0.8</v>
      </c>
      <c r="J91" s="43"/>
      <c r="K91" s="144">
        <f t="shared" ref="K91:K94" si="11">ROUND(PRODUCT(F91:I91),2)</f>
        <v>0.64</v>
      </c>
      <c r="L91" s="67"/>
      <c r="M91" s="160"/>
      <c r="N91" s="144"/>
      <c r="O91" s="42"/>
      <c r="P91" s="42"/>
      <c r="Q91" s="68"/>
    </row>
    <row r="92" spans="2:17" s="70" customFormat="1" x14ac:dyDescent="0.15">
      <c r="B92" s="86"/>
      <c r="C92" s="67"/>
      <c r="D92" s="23"/>
      <c r="E92" s="42"/>
      <c r="F92" s="228">
        <v>1</v>
      </c>
      <c r="G92" s="211">
        <v>1</v>
      </c>
      <c r="H92" s="211">
        <v>1</v>
      </c>
      <c r="I92" s="211">
        <v>0.9</v>
      </c>
      <c r="J92" s="43"/>
      <c r="K92" s="144">
        <f t="shared" si="11"/>
        <v>0.9</v>
      </c>
      <c r="L92" s="67"/>
      <c r="M92" s="160"/>
      <c r="N92" s="144"/>
      <c r="O92" s="42"/>
      <c r="P92" s="42"/>
      <c r="Q92" s="68"/>
    </row>
    <row r="93" spans="2:17" s="70" customFormat="1" x14ac:dyDescent="0.15">
      <c r="B93" s="86"/>
      <c r="C93" s="67"/>
      <c r="D93" s="23"/>
      <c r="E93" s="23"/>
      <c r="F93" s="228">
        <v>1</v>
      </c>
      <c r="G93" s="211">
        <v>2.15</v>
      </c>
      <c r="H93" s="211">
        <v>2.25</v>
      </c>
      <c r="I93" s="211">
        <v>0.9</v>
      </c>
      <c r="J93" s="43"/>
      <c r="K93" s="144">
        <f t="shared" si="11"/>
        <v>4.3499999999999996</v>
      </c>
      <c r="L93" s="67"/>
      <c r="M93" s="160"/>
      <c r="N93" s="144"/>
      <c r="O93" s="42"/>
      <c r="P93" s="42"/>
      <c r="Q93" s="68"/>
    </row>
    <row r="94" spans="2:17" s="70" customFormat="1" x14ac:dyDescent="0.15">
      <c r="B94" s="86"/>
      <c r="C94" s="67"/>
      <c r="D94" s="23"/>
      <c r="E94" s="23"/>
      <c r="F94" s="228">
        <v>2</v>
      </c>
      <c r="G94" s="211">
        <v>2.2000000000000002</v>
      </c>
      <c r="H94" s="211">
        <v>2.17</v>
      </c>
      <c r="I94" s="211">
        <v>0.9</v>
      </c>
      <c r="J94" s="43"/>
      <c r="K94" s="144">
        <f t="shared" si="11"/>
        <v>8.59</v>
      </c>
      <c r="L94" s="67"/>
      <c r="M94" s="160"/>
      <c r="N94" s="144"/>
      <c r="O94" s="42"/>
      <c r="P94" s="42"/>
      <c r="Q94" s="68"/>
    </row>
    <row r="95" spans="2:17" s="70" customFormat="1" x14ac:dyDescent="0.15">
      <c r="B95" s="86"/>
      <c r="C95" s="67"/>
      <c r="D95" s="23"/>
      <c r="E95" s="42" t="s">
        <v>23</v>
      </c>
      <c r="F95" s="228"/>
      <c r="G95" s="211"/>
      <c r="H95" s="211"/>
      <c r="I95" s="211"/>
      <c r="J95" s="43" t="s">
        <v>116</v>
      </c>
      <c r="K95" s="144">
        <f>ROUND(SUM(K84:K94),2)</f>
        <v>48.4</v>
      </c>
      <c r="L95" s="67">
        <v>155.26</v>
      </c>
      <c r="M95" s="160">
        <f>ROUND(PRODUCT(K95:L95),2)</f>
        <v>7514.58</v>
      </c>
      <c r="N95" s="144"/>
      <c r="O95" s="42">
        <v>4.9800000000000004</v>
      </c>
      <c r="P95" s="42">
        <f>O95*K95</f>
        <v>241.03200000000001</v>
      </c>
      <c r="Q95" s="68"/>
    </row>
    <row r="96" spans="2:17" s="70" customFormat="1" x14ac:dyDescent="0.15">
      <c r="B96" s="86"/>
      <c r="C96" s="67"/>
      <c r="D96" s="23"/>
      <c r="E96" s="42"/>
      <c r="F96" s="228"/>
      <c r="G96" s="211"/>
      <c r="H96" s="211"/>
      <c r="I96" s="211"/>
      <c r="J96" s="43"/>
      <c r="K96" s="144"/>
      <c r="L96" s="67"/>
      <c r="M96" s="160"/>
      <c r="N96" s="144"/>
      <c r="O96" s="42"/>
      <c r="P96" s="42"/>
      <c r="Q96" s="68"/>
    </row>
    <row r="97" spans="2:17" s="70" customFormat="1" ht="42" x14ac:dyDescent="0.15">
      <c r="B97" s="86">
        <v>16</v>
      </c>
      <c r="C97" s="67"/>
      <c r="D97" s="23" t="s">
        <v>166</v>
      </c>
      <c r="E97" s="23" t="s">
        <v>184</v>
      </c>
      <c r="F97" s="228"/>
      <c r="G97" s="211"/>
      <c r="H97" s="211"/>
      <c r="I97" s="211"/>
      <c r="J97" s="43"/>
      <c r="K97" s="144"/>
      <c r="L97" s="67"/>
      <c r="M97" s="160"/>
      <c r="N97" s="144"/>
      <c r="O97" s="42"/>
      <c r="P97" s="42"/>
      <c r="Q97" s="68"/>
    </row>
    <row r="98" spans="2:17" s="70" customFormat="1" x14ac:dyDescent="0.15">
      <c r="B98" s="86"/>
      <c r="C98" s="67"/>
      <c r="D98" s="23"/>
      <c r="E98" s="101" t="s">
        <v>167</v>
      </c>
      <c r="F98" s="228"/>
      <c r="G98" s="211"/>
      <c r="H98" s="211"/>
      <c r="I98" s="211"/>
      <c r="J98" s="43"/>
      <c r="K98" s="144"/>
      <c r="L98" s="67"/>
      <c r="M98" s="160"/>
      <c r="N98" s="144"/>
      <c r="O98" s="42"/>
      <c r="P98" s="42"/>
      <c r="Q98" s="68"/>
    </row>
    <row r="99" spans="2:17" s="70" customFormat="1" x14ac:dyDescent="0.15">
      <c r="B99" s="86"/>
      <c r="C99" s="67"/>
      <c r="D99" s="23"/>
      <c r="E99" s="23" t="s">
        <v>17</v>
      </c>
      <c r="F99" s="228"/>
      <c r="G99" s="211"/>
      <c r="H99" s="211"/>
      <c r="I99" s="211"/>
      <c r="J99" s="43"/>
      <c r="K99" s="144"/>
      <c r="L99" s="67"/>
      <c r="M99" s="160"/>
      <c r="N99" s="144"/>
      <c r="O99" s="42"/>
      <c r="P99" s="42"/>
      <c r="Q99" s="68"/>
    </row>
    <row r="100" spans="2:17" s="70" customFormat="1" x14ac:dyDescent="0.15">
      <c r="B100" s="86"/>
      <c r="C100" s="67"/>
      <c r="D100" s="23"/>
      <c r="E100" s="23"/>
      <c r="F100" s="228">
        <v>10</v>
      </c>
      <c r="G100" s="211"/>
      <c r="H100" s="211"/>
      <c r="I100" s="211"/>
      <c r="J100" s="43"/>
      <c r="K100" s="144">
        <f>ROUND(PRODUCT(F100:I100),2)</f>
        <v>10</v>
      </c>
      <c r="L100" s="67"/>
      <c r="M100" s="160"/>
      <c r="N100" s="144"/>
      <c r="O100" s="42"/>
      <c r="P100" s="42"/>
      <c r="Q100" s="68"/>
    </row>
    <row r="101" spans="2:17" s="70" customFormat="1" x14ac:dyDescent="0.15">
      <c r="B101" s="86"/>
      <c r="C101" s="67"/>
      <c r="D101" s="23"/>
      <c r="E101" s="42" t="s">
        <v>21</v>
      </c>
      <c r="F101" s="228"/>
      <c r="G101" s="211"/>
      <c r="H101" s="211"/>
      <c r="I101" s="211"/>
      <c r="J101" s="43" t="s">
        <v>123</v>
      </c>
      <c r="K101" s="144">
        <f>ROUND(SUM(K99:K100),2)</f>
        <v>10</v>
      </c>
      <c r="L101" s="67">
        <v>180</v>
      </c>
      <c r="M101" s="160">
        <f>ROUND(PRODUCT(K101:L101),2)</f>
        <v>1800</v>
      </c>
      <c r="N101" s="144"/>
      <c r="O101" s="42">
        <v>54</v>
      </c>
      <c r="P101" s="42">
        <f>O101*K101</f>
        <v>540</v>
      </c>
      <c r="Q101" s="68"/>
    </row>
    <row r="102" spans="2:17" s="70" customFormat="1" x14ac:dyDescent="0.15">
      <c r="B102" s="86"/>
      <c r="C102" s="67"/>
      <c r="D102" s="23"/>
      <c r="E102" s="23"/>
      <c r="F102" s="228"/>
      <c r="G102" s="211"/>
      <c r="H102" s="211"/>
      <c r="I102" s="211"/>
      <c r="J102" s="43"/>
      <c r="K102" s="144"/>
      <c r="L102" s="67"/>
      <c r="M102" s="160"/>
      <c r="N102" s="144"/>
      <c r="O102" s="42"/>
      <c r="P102" s="42"/>
      <c r="Q102" s="68"/>
    </row>
    <row r="103" spans="2:17" s="70" customFormat="1" x14ac:dyDescent="0.15">
      <c r="B103" s="88"/>
      <c r="C103" s="71"/>
      <c r="D103" s="102"/>
      <c r="E103" s="103"/>
      <c r="F103" s="230"/>
      <c r="G103" s="213"/>
      <c r="H103" s="213"/>
      <c r="I103" s="213"/>
      <c r="J103" s="44"/>
      <c r="K103" s="146"/>
      <c r="L103" s="69"/>
      <c r="M103" s="161"/>
      <c r="N103" s="145"/>
      <c r="O103" s="24"/>
      <c r="P103" s="42"/>
      <c r="Q103" s="68"/>
    </row>
    <row r="104" spans="2:17" s="70" customFormat="1" ht="12.75" x14ac:dyDescent="0.15">
      <c r="B104" s="104"/>
      <c r="C104" s="105"/>
      <c r="D104" s="106"/>
      <c r="E104" s="38" t="str">
        <f>CONCATENATE("Totale fase ",E7)</f>
        <v>Totale fase Scavi e sbancamenti</v>
      </c>
      <c r="F104" s="231"/>
      <c r="G104" s="210"/>
      <c r="H104" s="210"/>
      <c r="I104" s="210"/>
      <c r="J104" s="107"/>
      <c r="K104" s="147"/>
      <c r="L104" s="108"/>
      <c r="M104" s="162"/>
      <c r="N104" s="175">
        <f>SUM(M34:M102)</f>
        <v>-13313.010000000018</v>
      </c>
      <c r="O104" s="109"/>
      <c r="P104" s="110"/>
      <c r="Q104" s="111">
        <f>SUM(P34:P102)</f>
        <v>-147.10560000000021</v>
      </c>
    </row>
    <row r="105" spans="2:17" s="70" customFormat="1" ht="12.75" x14ac:dyDescent="0.15">
      <c r="B105" s="104"/>
      <c r="C105" s="105"/>
      <c r="D105" s="106"/>
      <c r="E105" s="38"/>
      <c r="F105" s="231"/>
      <c r="G105" s="210"/>
      <c r="H105" s="210"/>
      <c r="I105" s="210"/>
      <c r="J105" s="112"/>
      <c r="K105" s="147"/>
      <c r="L105" s="108"/>
      <c r="M105" s="163"/>
      <c r="N105" s="175"/>
      <c r="O105" s="109"/>
      <c r="P105" s="113"/>
      <c r="Q105" s="114"/>
    </row>
    <row r="106" spans="2:17" s="70" customFormat="1" ht="12.75" x14ac:dyDescent="0.15">
      <c r="B106" s="104"/>
      <c r="C106" s="37" t="s">
        <v>91</v>
      </c>
      <c r="D106" s="106"/>
      <c r="E106" s="38" t="s">
        <v>92</v>
      </c>
      <c r="F106" s="231"/>
      <c r="G106" s="210"/>
      <c r="H106" s="210"/>
      <c r="I106" s="210"/>
      <c r="J106" s="107"/>
      <c r="K106" s="147"/>
      <c r="L106" s="108"/>
      <c r="M106" s="162"/>
      <c r="N106" s="176"/>
      <c r="O106" s="113"/>
      <c r="P106" s="113">
        <f>J106*N106</f>
        <v>0</v>
      </c>
      <c r="Q106" s="116"/>
    </row>
    <row r="107" spans="2:17" s="70" customFormat="1" ht="63" x14ac:dyDescent="0.15">
      <c r="B107" s="88">
        <v>17</v>
      </c>
      <c r="C107" s="71"/>
      <c r="D107" s="23" t="s">
        <v>26</v>
      </c>
      <c r="E107" s="23" t="s">
        <v>27</v>
      </c>
      <c r="F107" s="228"/>
      <c r="G107" s="211"/>
      <c r="H107" s="211"/>
      <c r="I107" s="211"/>
      <c r="J107" s="44"/>
      <c r="K107" s="146"/>
      <c r="L107" s="69"/>
      <c r="M107" s="161"/>
      <c r="N107" s="145"/>
      <c r="O107" s="24"/>
      <c r="P107" s="42"/>
      <c r="Q107" s="68"/>
    </row>
    <row r="108" spans="2:17" s="70" customFormat="1" x14ac:dyDescent="0.15">
      <c r="B108" s="88"/>
      <c r="C108" s="71"/>
      <c r="D108" s="23"/>
      <c r="E108" s="23" t="s">
        <v>17</v>
      </c>
      <c r="F108" s="228"/>
      <c r="G108" s="211"/>
      <c r="H108" s="211"/>
      <c r="I108" s="211"/>
      <c r="J108" s="44"/>
      <c r="K108" s="146"/>
      <c r="L108" s="69"/>
      <c r="M108" s="161"/>
      <c r="N108" s="145"/>
      <c r="O108" s="24"/>
      <c r="P108" s="42"/>
      <c r="Q108" s="68"/>
    </row>
    <row r="109" spans="2:17" s="70" customFormat="1" x14ac:dyDescent="0.15">
      <c r="B109" s="88"/>
      <c r="C109" s="71"/>
      <c r="D109" s="23"/>
      <c r="E109" s="23" t="s">
        <v>70</v>
      </c>
      <c r="F109" s="228">
        <v>-65</v>
      </c>
      <c r="G109" s="211">
        <v>1.9</v>
      </c>
      <c r="H109" s="211">
        <v>1.9</v>
      </c>
      <c r="I109" s="211">
        <v>0.2</v>
      </c>
      <c r="J109" s="44"/>
      <c r="K109" s="144">
        <f>ROUND(PRODUCT(F109:I109),2)</f>
        <v>-46.93</v>
      </c>
      <c r="L109" s="69"/>
      <c r="M109" s="161"/>
      <c r="N109" s="145"/>
      <c r="O109" s="24"/>
      <c r="P109" s="42"/>
      <c r="Q109" s="68"/>
    </row>
    <row r="110" spans="2:17" s="70" customFormat="1" x14ac:dyDescent="0.15">
      <c r="B110" s="88"/>
      <c r="C110" s="71"/>
      <c r="D110" s="23"/>
      <c r="E110" s="23" t="s">
        <v>71</v>
      </c>
      <c r="F110" s="228">
        <v>-1</v>
      </c>
      <c r="G110" s="211">
        <v>150</v>
      </c>
      <c r="H110" s="211">
        <v>0.1</v>
      </c>
      <c r="I110" s="211">
        <v>0.55000000000000004</v>
      </c>
      <c r="J110" s="44"/>
      <c r="K110" s="144">
        <f>ROUND(PRODUCT(F110:I110),2)</f>
        <v>-8.25</v>
      </c>
      <c r="L110" s="69"/>
      <c r="M110" s="161"/>
      <c r="N110" s="145"/>
      <c r="O110" s="24"/>
      <c r="P110" s="42"/>
      <c r="Q110" s="68"/>
    </row>
    <row r="111" spans="2:17" s="70" customFormat="1" x14ac:dyDescent="0.15">
      <c r="B111" s="88"/>
      <c r="C111" s="71"/>
      <c r="D111" s="23"/>
      <c r="E111" s="23" t="s">
        <v>168</v>
      </c>
      <c r="F111" s="228">
        <v>1</v>
      </c>
      <c r="G111" s="211">
        <v>80</v>
      </c>
      <c r="H111" s="211">
        <v>26</v>
      </c>
      <c r="I111" s="211">
        <v>0.15</v>
      </c>
      <c r="J111" s="44"/>
      <c r="K111" s="144">
        <f>ROUND(PRODUCT(F111:I111),2)</f>
        <v>312</v>
      </c>
      <c r="L111" s="69"/>
      <c r="M111" s="161"/>
      <c r="N111" s="145"/>
      <c r="O111" s="24"/>
      <c r="P111" s="42"/>
      <c r="Q111" s="68"/>
    </row>
    <row r="112" spans="2:17" s="70" customFormat="1" x14ac:dyDescent="0.15">
      <c r="B112" s="88"/>
      <c r="C112" s="71"/>
      <c r="D112" s="23"/>
      <c r="E112" s="23"/>
      <c r="F112" s="228"/>
      <c r="G112" s="211"/>
      <c r="H112" s="211"/>
      <c r="I112" s="211"/>
      <c r="J112" s="44"/>
      <c r="K112" s="144"/>
      <c r="L112" s="69"/>
      <c r="M112" s="161"/>
      <c r="N112" s="145"/>
      <c r="O112" s="24"/>
      <c r="P112" s="42"/>
      <c r="Q112" s="68"/>
    </row>
    <row r="113" spans="2:17" s="70" customFormat="1" x14ac:dyDescent="0.15">
      <c r="B113" s="88"/>
      <c r="C113" s="71"/>
      <c r="D113" s="23"/>
      <c r="E113" s="42" t="s">
        <v>23</v>
      </c>
      <c r="F113" s="228"/>
      <c r="G113" s="211"/>
      <c r="H113" s="211"/>
      <c r="I113" s="211"/>
      <c r="J113" s="44" t="s">
        <v>116</v>
      </c>
      <c r="K113" s="144">
        <f>ROUND(SUM(K107:K111),2)</f>
        <v>256.82</v>
      </c>
      <c r="L113" s="69">
        <v>114.95</v>
      </c>
      <c r="M113" s="160">
        <f>ROUND(PRODUCT(K113:L113),2)</f>
        <v>29521.46</v>
      </c>
      <c r="N113" s="145"/>
      <c r="O113" s="24">
        <v>1.84</v>
      </c>
      <c r="P113" s="42">
        <f>O113*K113</f>
        <v>472.54880000000003</v>
      </c>
      <c r="Q113" s="68"/>
    </row>
    <row r="114" spans="2:17" s="70" customFormat="1" x14ac:dyDescent="0.15">
      <c r="B114" s="88"/>
      <c r="C114" s="71"/>
      <c r="D114" s="102"/>
      <c r="E114" s="103"/>
      <c r="F114" s="230"/>
      <c r="G114" s="213"/>
      <c r="H114" s="213"/>
      <c r="I114" s="213"/>
      <c r="J114" s="44"/>
      <c r="K114" s="144"/>
      <c r="L114" s="69"/>
      <c r="M114" s="161"/>
      <c r="N114" s="145"/>
      <c r="O114" s="24"/>
      <c r="P114" s="42"/>
      <c r="Q114" s="68"/>
    </row>
    <row r="115" spans="2:17" s="70" customFormat="1" ht="84" x14ac:dyDescent="0.15">
      <c r="B115" s="88">
        <v>18</v>
      </c>
      <c r="C115" s="71"/>
      <c r="D115" s="94" t="s">
        <v>132</v>
      </c>
      <c r="E115" s="94" t="s">
        <v>133</v>
      </c>
      <c r="F115" s="229"/>
      <c r="G115" s="212"/>
      <c r="H115" s="212"/>
      <c r="I115" s="212"/>
      <c r="J115" s="24"/>
      <c r="K115" s="145"/>
      <c r="L115" s="117"/>
      <c r="M115" s="164"/>
      <c r="N115" s="145"/>
      <c r="O115" s="24"/>
      <c r="P115" s="24"/>
      <c r="Q115" s="119"/>
    </row>
    <row r="116" spans="2:17" s="70" customFormat="1" x14ac:dyDescent="0.15">
      <c r="B116" s="88"/>
      <c r="C116" s="71"/>
      <c r="D116" s="94"/>
      <c r="E116" s="94" t="s">
        <v>17</v>
      </c>
      <c r="F116" s="229"/>
      <c r="G116" s="212"/>
      <c r="H116" s="212"/>
      <c r="I116" s="212"/>
      <c r="J116" s="24"/>
      <c r="K116" s="145"/>
      <c r="L116" s="117"/>
      <c r="M116" s="164"/>
      <c r="N116" s="145"/>
      <c r="O116" s="24"/>
      <c r="P116" s="24"/>
      <c r="Q116" s="119"/>
    </row>
    <row r="117" spans="2:17" s="70" customFormat="1" x14ac:dyDescent="0.15">
      <c r="B117" s="88"/>
      <c r="C117" s="71"/>
      <c r="D117" s="94"/>
      <c r="E117" s="94" t="s">
        <v>72</v>
      </c>
      <c r="F117" s="229">
        <v>-65</v>
      </c>
      <c r="G117" s="212">
        <v>1.5</v>
      </c>
      <c r="H117" s="212">
        <v>1.5</v>
      </c>
      <c r="I117" s="212">
        <v>1</v>
      </c>
      <c r="J117" s="24"/>
      <c r="K117" s="145">
        <f>ROUND(PRODUCT(F117:I117),2)</f>
        <v>-146.25</v>
      </c>
      <c r="L117" s="117"/>
      <c r="M117" s="164"/>
      <c r="N117" s="145"/>
      <c r="O117" s="24"/>
      <c r="P117" s="24"/>
      <c r="Q117" s="119"/>
    </row>
    <row r="118" spans="2:17" s="70" customFormat="1" x14ac:dyDescent="0.15">
      <c r="B118" s="88"/>
      <c r="C118" s="71"/>
      <c r="D118" s="94"/>
      <c r="E118" s="94" t="s">
        <v>185</v>
      </c>
      <c r="F118" s="229">
        <v>1</v>
      </c>
      <c r="G118" s="212">
        <v>79.650000000000006</v>
      </c>
      <c r="H118" s="212">
        <v>25.9</v>
      </c>
      <c r="I118" s="212">
        <v>0.5</v>
      </c>
      <c r="J118" s="24"/>
      <c r="K118" s="145">
        <f>ROUND(PRODUCT(F118:I118),2)</f>
        <v>1031.47</v>
      </c>
      <c r="L118" s="117" t="s">
        <v>8</v>
      </c>
      <c r="M118" s="164"/>
      <c r="N118" s="145"/>
      <c r="O118" s="24"/>
      <c r="P118" s="24"/>
      <c r="Q118" s="119"/>
    </row>
    <row r="119" spans="2:17" s="70" customFormat="1" x14ac:dyDescent="0.15">
      <c r="B119" s="88"/>
      <c r="C119" s="71"/>
      <c r="D119" s="94"/>
      <c r="E119" s="94" t="s">
        <v>169</v>
      </c>
      <c r="F119" s="229">
        <v>65</v>
      </c>
      <c r="G119" s="212">
        <v>0.6</v>
      </c>
      <c r="H119" s="212">
        <v>0.6</v>
      </c>
      <c r="I119" s="212">
        <v>0.47</v>
      </c>
      <c r="J119" s="24"/>
      <c r="K119" s="145">
        <f>ROUND(PRODUCT(F119:I119),2)</f>
        <v>11</v>
      </c>
      <c r="L119" s="117"/>
      <c r="M119" s="164"/>
      <c r="N119" s="145"/>
      <c r="O119" s="24"/>
      <c r="P119" s="24"/>
      <c r="Q119" s="119"/>
    </row>
    <row r="120" spans="2:17" s="70" customFormat="1" x14ac:dyDescent="0.15">
      <c r="B120" s="88"/>
      <c r="C120" s="71"/>
      <c r="D120" s="94"/>
      <c r="E120" s="23" t="s">
        <v>266</v>
      </c>
      <c r="F120" s="229">
        <f>(4*14+2*8.4+2*63)*0.075</f>
        <v>14.91</v>
      </c>
      <c r="G120" s="212"/>
      <c r="H120" s="212"/>
      <c r="I120" s="212"/>
      <c r="J120" s="24"/>
      <c r="K120" s="145">
        <f>ROUND(PRODUCT(F120:I120),2)</f>
        <v>14.91</v>
      </c>
      <c r="L120" s="117"/>
      <c r="M120" s="164"/>
      <c r="N120" s="145"/>
      <c r="O120" s="24"/>
      <c r="P120" s="24"/>
      <c r="Q120" s="119"/>
    </row>
    <row r="121" spans="2:17" s="70" customFormat="1" x14ac:dyDescent="0.15">
      <c r="B121" s="88"/>
      <c r="C121" s="71"/>
      <c r="D121" s="94"/>
      <c r="E121" s="24"/>
      <c r="F121" s="229"/>
      <c r="G121" s="212"/>
      <c r="H121" s="212"/>
      <c r="I121" s="212"/>
      <c r="J121" s="24"/>
      <c r="K121" s="145"/>
      <c r="L121" s="117"/>
      <c r="M121" s="164"/>
      <c r="N121" s="145"/>
      <c r="O121" s="24"/>
      <c r="P121" s="24"/>
      <c r="Q121" s="119"/>
    </row>
    <row r="122" spans="2:17" s="70" customFormat="1" x14ac:dyDescent="0.15">
      <c r="B122" s="88"/>
      <c r="C122" s="71"/>
      <c r="D122" s="94"/>
      <c r="E122" s="24" t="s">
        <v>23</v>
      </c>
      <c r="F122" s="229"/>
      <c r="G122" s="212"/>
      <c r="H122" s="212"/>
      <c r="I122" s="212"/>
      <c r="J122" s="24" t="s">
        <v>116</v>
      </c>
      <c r="K122" s="145">
        <f>ROUND(SUM(K116:K121),2)</f>
        <v>911.13</v>
      </c>
      <c r="L122" s="72">
        <v>141.71</v>
      </c>
      <c r="M122" s="145">
        <f>ROUND(PRODUCT(K122:L122),2)</f>
        <v>129116.23</v>
      </c>
      <c r="N122" s="145"/>
      <c r="O122" s="24">
        <v>2.27</v>
      </c>
      <c r="P122" s="24">
        <f>O122*K122</f>
        <v>2068.2651000000001</v>
      </c>
      <c r="Q122" s="119"/>
    </row>
    <row r="123" spans="2:17" s="70" customFormat="1" x14ac:dyDescent="0.15">
      <c r="B123" s="88"/>
      <c r="C123" s="71"/>
      <c r="D123" s="94"/>
      <c r="E123" s="24"/>
      <c r="F123" s="229"/>
      <c r="G123" s="212"/>
      <c r="H123" s="212"/>
      <c r="I123" s="212"/>
      <c r="J123" s="24"/>
      <c r="K123" s="145"/>
      <c r="L123" s="72"/>
      <c r="M123" s="145"/>
      <c r="N123" s="145"/>
      <c r="O123" s="24"/>
      <c r="P123" s="24"/>
      <c r="Q123" s="119"/>
    </row>
    <row r="124" spans="2:17" s="70" customFormat="1" x14ac:dyDescent="0.15">
      <c r="B124" s="88"/>
      <c r="C124" s="71"/>
      <c r="D124" s="94"/>
      <c r="E124" s="24"/>
      <c r="F124" s="229"/>
      <c r="G124" s="212"/>
      <c r="H124" s="212"/>
      <c r="I124" s="212"/>
      <c r="J124" s="24"/>
      <c r="K124" s="145"/>
      <c r="L124" s="72"/>
      <c r="M124" s="145"/>
      <c r="N124" s="145"/>
      <c r="O124" s="24"/>
      <c r="P124" s="24"/>
      <c r="Q124" s="119"/>
    </row>
    <row r="125" spans="2:17" s="70" customFormat="1" ht="52.5" x14ac:dyDescent="0.15">
      <c r="B125" s="88">
        <v>19</v>
      </c>
      <c r="C125" s="71"/>
      <c r="D125" s="94" t="s">
        <v>170</v>
      </c>
      <c r="E125" s="94" t="s">
        <v>171</v>
      </c>
      <c r="F125" s="229"/>
      <c r="G125" s="212"/>
      <c r="H125" s="212"/>
      <c r="I125" s="212"/>
      <c r="J125" s="24"/>
      <c r="K125" s="145"/>
      <c r="L125" s="117"/>
      <c r="M125" s="164"/>
      <c r="N125" s="145"/>
      <c r="O125" s="24"/>
      <c r="P125" s="24"/>
      <c r="Q125" s="119"/>
    </row>
    <row r="126" spans="2:17" s="70" customFormat="1" x14ac:dyDescent="0.15">
      <c r="B126" s="88"/>
      <c r="C126" s="71"/>
      <c r="D126" s="94"/>
      <c r="E126" s="94" t="s">
        <v>17</v>
      </c>
      <c r="F126" s="229"/>
      <c r="G126" s="212"/>
      <c r="H126" s="212"/>
      <c r="I126" s="212"/>
      <c r="J126" s="24"/>
      <c r="K126" s="145"/>
      <c r="L126" s="117"/>
      <c r="M126" s="164"/>
      <c r="N126" s="145"/>
      <c r="O126" s="24"/>
      <c r="P126" s="24"/>
      <c r="Q126" s="119"/>
    </row>
    <row r="127" spans="2:17" s="70" customFormat="1" x14ac:dyDescent="0.15">
      <c r="B127" s="88"/>
      <c r="C127" s="71"/>
      <c r="D127" s="94"/>
      <c r="E127" s="94" t="s">
        <v>185</v>
      </c>
      <c r="F127" s="229">
        <v>1</v>
      </c>
      <c r="G127" s="212">
        <v>79.650000000000006</v>
      </c>
      <c r="H127" s="212">
        <v>25.9</v>
      </c>
      <c r="I127" s="212">
        <v>0.5</v>
      </c>
      <c r="J127" s="24"/>
      <c r="K127" s="145">
        <f>ROUND(PRODUCT(F127:I127),2)</f>
        <v>1031.47</v>
      </c>
      <c r="L127" s="117"/>
      <c r="M127" s="164"/>
      <c r="N127" s="145"/>
      <c r="O127" s="24"/>
      <c r="P127" s="24"/>
      <c r="Q127" s="119"/>
    </row>
    <row r="128" spans="2:17" s="70" customFormat="1" x14ac:dyDescent="0.15">
      <c r="B128" s="88"/>
      <c r="C128" s="71"/>
      <c r="D128" s="94"/>
      <c r="E128" s="94" t="s">
        <v>169</v>
      </c>
      <c r="F128" s="229">
        <v>65</v>
      </c>
      <c r="G128" s="212">
        <v>0.6</v>
      </c>
      <c r="H128" s="212">
        <v>0.6</v>
      </c>
      <c r="I128" s="212">
        <v>0.47</v>
      </c>
      <c r="J128" s="24"/>
      <c r="K128" s="145">
        <f>ROUND(PRODUCT(F128:I128),2)</f>
        <v>11</v>
      </c>
      <c r="L128" s="117"/>
      <c r="M128" s="164"/>
      <c r="N128" s="145"/>
      <c r="O128" s="24"/>
      <c r="P128" s="24"/>
      <c r="Q128" s="119"/>
    </row>
    <row r="129" spans="2:17" s="70" customFormat="1" x14ac:dyDescent="0.15">
      <c r="B129" s="88"/>
      <c r="C129" s="71"/>
      <c r="D129" s="94"/>
      <c r="E129" s="23" t="s">
        <v>266</v>
      </c>
      <c r="F129" s="229">
        <f>(4*14+2*8.4+2*63)*0.075</f>
        <v>14.91</v>
      </c>
      <c r="G129" s="212"/>
      <c r="H129" s="212"/>
      <c r="I129" s="212"/>
      <c r="J129" s="24"/>
      <c r="K129" s="145">
        <f>ROUND(PRODUCT(F129:I129),2)</f>
        <v>14.91</v>
      </c>
      <c r="L129" s="117"/>
      <c r="M129" s="164"/>
      <c r="N129" s="145"/>
      <c r="O129" s="24"/>
      <c r="P129" s="24"/>
      <c r="Q129" s="119"/>
    </row>
    <row r="130" spans="2:17" s="70" customFormat="1" x14ac:dyDescent="0.15">
      <c r="B130" s="88"/>
      <c r="C130" s="71"/>
      <c r="D130" s="94"/>
      <c r="E130" s="24"/>
      <c r="F130" s="229"/>
      <c r="G130" s="212"/>
      <c r="H130" s="212"/>
      <c r="I130" s="212"/>
      <c r="J130" s="24"/>
      <c r="K130" s="145"/>
      <c r="L130" s="117"/>
      <c r="M130" s="164"/>
      <c r="N130" s="145"/>
      <c r="O130" s="24"/>
      <c r="P130" s="24"/>
      <c r="Q130" s="119"/>
    </row>
    <row r="131" spans="2:17" s="70" customFormat="1" x14ac:dyDescent="0.15">
      <c r="B131" s="88"/>
      <c r="C131" s="71"/>
      <c r="D131" s="94"/>
      <c r="E131" s="24" t="s">
        <v>23</v>
      </c>
      <c r="F131" s="229"/>
      <c r="G131" s="212"/>
      <c r="H131" s="212"/>
      <c r="I131" s="212"/>
      <c r="J131" s="24" t="s">
        <v>116</v>
      </c>
      <c r="K131" s="145">
        <f>ROUND(SUM(K125:K130),2)</f>
        <v>1057.3800000000001</v>
      </c>
      <c r="L131" s="72">
        <v>7.93</v>
      </c>
      <c r="M131" s="145">
        <f>ROUND(PRODUCT(K131:L131),2)</f>
        <v>8385.02</v>
      </c>
      <c r="N131" s="145"/>
      <c r="O131" s="24">
        <v>0.13</v>
      </c>
      <c r="P131" s="24">
        <f>O131*K131</f>
        <v>137.45940000000002</v>
      </c>
      <c r="Q131" s="119"/>
    </row>
    <row r="132" spans="2:17" s="70" customFormat="1" x14ac:dyDescent="0.15">
      <c r="B132" s="88"/>
      <c r="C132" s="71"/>
      <c r="D132" s="102"/>
      <c r="E132" s="103"/>
      <c r="F132" s="230"/>
      <c r="G132" s="213"/>
      <c r="H132" s="213"/>
      <c r="I132" s="213"/>
      <c r="J132" s="44"/>
      <c r="K132" s="146"/>
      <c r="L132" s="69"/>
      <c r="M132" s="161"/>
      <c r="N132" s="145"/>
      <c r="O132" s="24"/>
      <c r="P132" s="42">
        <f t="shared" ref="P132:P235" si="12">O132*K132</f>
        <v>0</v>
      </c>
      <c r="Q132" s="68"/>
    </row>
    <row r="133" spans="2:17" s="70" customFormat="1" ht="31.5" x14ac:dyDescent="0.15">
      <c r="B133" s="88">
        <v>20</v>
      </c>
      <c r="C133" s="71"/>
      <c r="D133" s="94" t="s">
        <v>267</v>
      </c>
      <c r="E133" s="94" t="s">
        <v>268</v>
      </c>
      <c r="F133" s="229"/>
      <c r="G133" s="212"/>
      <c r="H133" s="212"/>
      <c r="I133" s="212"/>
      <c r="J133" s="24"/>
      <c r="K133" s="145"/>
      <c r="L133" s="117"/>
      <c r="M133" s="164"/>
      <c r="N133" s="145"/>
      <c r="O133" s="24"/>
      <c r="P133" s="24"/>
      <c r="Q133" s="119"/>
    </row>
    <row r="134" spans="2:17" s="70" customFormat="1" x14ac:dyDescent="0.15">
      <c r="B134" s="88"/>
      <c r="C134" s="71"/>
      <c r="D134" s="94"/>
      <c r="E134" s="94" t="s">
        <v>17</v>
      </c>
      <c r="F134" s="229"/>
      <c r="G134" s="212"/>
      <c r="H134" s="212"/>
      <c r="I134" s="212"/>
      <c r="J134" s="24"/>
      <c r="K134" s="145"/>
      <c r="L134" s="117"/>
      <c r="M134" s="164"/>
      <c r="N134" s="145"/>
      <c r="O134" s="24"/>
      <c r="P134" s="24"/>
      <c r="Q134" s="119"/>
    </row>
    <row r="135" spans="2:17" s="70" customFormat="1" x14ac:dyDescent="0.15">
      <c r="B135" s="88"/>
      <c r="C135" s="71"/>
      <c r="D135" s="94"/>
      <c r="E135" s="94" t="s">
        <v>185</v>
      </c>
      <c r="F135" s="229">
        <v>1</v>
      </c>
      <c r="G135" s="212">
        <v>79.650000000000006</v>
      </c>
      <c r="H135" s="212">
        <v>25.9</v>
      </c>
      <c r="I135" s="212">
        <v>0.5</v>
      </c>
      <c r="J135" s="24"/>
      <c r="K135" s="145">
        <f>ROUND(PRODUCT(F135:I135),2)</f>
        <v>1031.47</v>
      </c>
      <c r="L135" s="117"/>
      <c r="M135" s="164"/>
      <c r="N135" s="145"/>
      <c r="O135" s="24"/>
      <c r="P135" s="24"/>
      <c r="Q135" s="119"/>
    </row>
    <row r="136" spans="2:17" s="70" customFormat="1" x14ac:dyDescent="0.15">
      <c r="B136" s="88"/>
      <c r="C136" s="71"/>
      <c r="D136" s="94"/>
      <c r="E136" s="94" t="s">
        <v>169</v>
      </c>
      <c r="F136" s="229">
        <v>65</v>
      </c>
      <c r="G136" s="212">
        <v>0.6</v>
      </c>
      <c r="H136" s="212">
        <v>0.6</v>
      </c>
      <c r="I136" s="212">
        <v>0.47</v>
      </c>
      <c r="J136" s="24"/>
      <c r="K136" s="145">
        <f>ROUND(PRODUCT(F136:I136),2)</f>
        <v>11</v>
      </c>
      <c r="L136" s="117"/>
      <c r="M136" s="164"/>
      <c r="N136" s="145"/>
      <c r="O136" s="24"/>
      <c r="P136" s="24"/>
      <c r="Q136" s="119"/>
    </row>
    <row r="137" spans="2:17" s="70" customFormat="1" x14ac:dyDescent="0.15">
      <c r="B137" s="88"/>
      <c r="C137" s="71"/>
      <c r="D137" s="94"/>
      <c r="E137" s="23" t="s">
        <v>266</v>
      </c>
      <c r="F137" s="229">
        <f>(4*14+2*8.4+2*63)*0.075</f>
        <v>14.91</v>
      </c>
      <c r="G137" s="212"/>
      <c r="H137" s="212"/>
      <c r="I137" s="212"/>
      <c r="J137" s="24"/>
      <c r="K137" s="145">
        <f>ROUND(PRODUCT(F137:I137),2)</f>
        <v>14.91</v>
      </c>
      <c r="L137" s="117"/>
      <c r="M137" s="164"/>
      <c r="N137" s="145"/>
      <c r="O137" s="24"/>
      <c r="P137" s="24"/>
      <c r="Q137" s="119"/>
    </row>
    <row r="138" spans="2:17" s="70" customFormat="1" x14ac:dyDescent="0.15">
      <c r="B138" s="88"/>
      <c r="C138" s="71"/>
      <c r="D138" s="94"/>
      <c r="E138" s="24"/>
      <c r="F138" s="229"/>
      <c r="G138" s="212"/>
      <c r="H138" s="212"/>
      <c r="I138" s="212"/>
      <c r="J138" s="24"/>
      <c r="K138" s="145"/>
      <c r="L138" s="117"/>
      <c r="M138" s="164"/>
      <c r="N138" s="145"/>
      <c r="O138" s="24"/>
      <c r="P138" s="24"/>
      <c r="Q138" s="119"/>
    </row>
    <row r="139" spans="2:17" s="70" customFormat="1" x14ac:dyDescent="0.15">
      <c r="B139" s="88"/>
      <c r="C139" s="71"/>
      <c r="D139" s="94"/>
      <c r="E139" s="24" t="s">
        <v>23</v>
      </c>
      <c r="F139" s="229"/>
      <c r="G139" s="212"/>
      <c r="H139" s="212"/>
      <c r="I139" s="212"/>
      <c r="J139" s="24" t="s">
        <v>116</v>
      </c>
      <c r="K139" s="145">
        <f>ROUND(SUM(K133:K138),2)</f>
        <v>1057.3800000000001</v>
      </c>
      <c r="L139" s="72">
        <v>2.57</v>
      </c>
      <c r="M139" s="145">
        <f>ROUND(PRODUCT(K139:L139),2)</f>
        <v>2717.47</v>
      </c>
      <c r="N139" s="145"/>
      <c r="O139" s="24">
        <v>0.02</v>
      </c>
      <c r="P139" s="24">
        <f>O139*K139</f>
        <v>21.147600000000004</v>
      </c>
      <c r="Q139" s="119"/>
    </row>
    <row r="140" spans="2:17" s="70" customFormat="1" x14ac:dyDescent="0.15">
      <c r="B140" s="88"/>
      <c r="C140" s="71"/>
      <c r="D140" s="102"/>
      <c r="E140" s="103"/>
      <c r="F140" s="230"/>
      <c r="G140" s="213"/>
      <c r="H140" s="213"/>
      <c r="I140" s="213"/>
      <c r="J140" s="44"/>
      <c r="K140" s="146"/>
      <c r="L140" s="69"/>
      <c r="M140" s="161"/>
      <c r="N140" s="145"/>
      <c r="O140" s="24"/>
      <c r="P140" s="42">
        <f t="shared" ref="P140" si="13">O140*K140</f>
        <v>0</v>
      </c>
      <c r="Q140" s="68"/>
    </row>
    <row r="141" spans="2:17" s="70" customFormat="1" ht="42" x14ac:dyDescent="0.15">
      <c r="B141" s="88">
        <v>21</v>
      </c>
      <c r="C141" s="71"/>
      <c r="D141" s="23" t="s">
        <v>29</v>
      </c>
      <c r="E141" s="23" t="s">
        <v>30</v>
      </c>
      <c r="F141" s="228"/>
      <c r="G141" s="211"/>
      <c r="H141" s="211"/>
      <c r="I141" s="211"/>
      <c r="J141" s="42"/>
      <c r="K141" s="144"/>
      <c r="L141" s="69"/>
      <c r="M141" s="161"/>
      <c r="N141" s="145"/>
      <c r="O141" s="24"/>
      <c r="P141" s="42">
        <f t="shared" si="12"/>
        <v>0</v>
      </c>
      <c r="Q141" s="68"/>
    </row>
    <row r="142" spans="2:17" s="70" customFormat="1" x14ac:dyDescent="0.15">
      <c r="B142" s="88"/>
      <c r="C142" s="71"/>
      <c r="D142" s="23"/>
      <c r="E142" s="23" t="s">
        <v>17</v>
      </c>
      <c r="F142" s="228"/>
      <c r="G142" s="211"/>
      <c r="H142" s="211"/>
      <c r="I142" s="211"/>
      <c r="J142" s="42"/>
      <c r="K142" s="144"/>
      <c r="L142" s="69"/>
      <c r="M142" s="161"/>
      <c r="N142" s="145"/>
      <c r="O142" s="24"/>
      <c r="P142" s="42">
        <f t="shared" si="12"/>
        <v>0</v>
      </c>
      <c r="Q142" s="68"/>
    </row>
    <row r="143" spans="2:17" s="70" customFormat="1" x14ac:dyDescent="0.15">
      <c r="B143" s="88"/>
      <c r="C143" s="71"/>
      <c r="D143" s="23"/>
      <c r="E143" s="23" t="s">
        <v>72</v>
      </c>
      <c r="F143" s="228">
        <v>-65</v>
      </c>
      <c r="G143" s="211">
        <v>6</v>
      </c>
      <c r="H143" s="211">
        <v>1</v>
      </c>
      <c r="I143" s="211"/>
      <c r="J143" s="42"/>
      <c r="K143" s="144">
        <f>ROUND(PRODUCT(F143:I143),2)</f>
        <v>-390</v>
      </c>
      <c r="L143" s="69"/>
      <c r="M143" s="161"/>
      <c r="N143" s="145"/>
      <c r="O143" s="24"/>
      <c r="P143" s="42">
        <f t="shared" si="12"/>
        <v>0</v>
      </c>
      <c r="Q143" s="68"/>
    </row>
    <row r="144" spans="2:17" s="70" customFormat="1" x14ac:dyDescent="0.15">
      <c r="B144" s="88"/>
      <c r="C144" s="71"/>
      <c r="D144" s="23"/>
      <c r="E144" s="23" t="s">
        <v>73</v>
      </c>
      <c r="F144" s="228">
        <v>-1</v>
      </c>
      <c r="G144" s="211">
        <v>150</v>
      </c>
      <c r="H144" s="211">
        <v>1</v>
      </c>
      <c r="I144" s="211">
        <v>0.6</v>
      </c>
      <c r="J144" s="42"/>
      <c r="K144" s="144">
        <f>ROUND(PRODUCT(F144:I144),2)</f>
        <v>-90</v>
      </c>
      <c r="L144" s="69"/>
      <c r="M144" s="161"/>
      <c r="N144" s="145"/>
      <c r="O144" s="24"/>
      <c r="P144" s="42">
        <f t="shared" si="12"/>
        <v>0</v>
      </c>
      <c r="Q144" s="68"/>
    </row>
    <row r="145" spans="2:17" s="70" customFormat="1" x14ac:dyDescent="0.15">
      <c r="B145" s="88"/>
      <c r="C145" s="71"/>
      <c r="D145" s="23"/>
      <c r="E145" s="23" t="s">
        <v>172</v>
      </c>
      <c r="F145" s="228">
        <v>2</v>
      </c>
      <c r="G145" s="211">
        <f>(79.55+25.9)</f>
        <v>105.44999999999999</v>
      </c>
      <c r="H145" s="211">
        <v>0.5</v>
      </c>
      <c r="I145" s="211"/>
      <c r="J145" s="42"/>
      <c r="K145" s="144">
        <f>ROUND(PRODUCT(F145:I145),2)</f>
        <v>105.45</v>
      </c>
      <c r="L145" s="69"/>
      <c r="M145" s="161"/>
      <c r="N145" s="145"/>
      <c r="O145" s="24"/>
      <c r="P145" s="42"/>
      <c r="Q145" s="68"/>
    </row>
    <row r="146" spans="2:17" s="70" customFormat="1" x14ac:dyDescent="0.15">
      <c r="B146" s="88"/>
      <c r="C146" s="71"/>
      <c r="D146" s="23"/>
      <c r="E146" s="23" t="s">
        <v>255</v>
      </c>
      <c r="F146" s="228">
        <v>65</v>
      </c>
      <c r="G146" s="211">
        <v>2.4</v>
      </c>
      <c r="H146" s="211">
        <v>0.5</v>
      </c>
      <c r="I146" s="211"/>
      <c r="J146" s="42"/>
      <c r="K146" s="144">
        <f>ROUND(PRODUCT(F146:I146),2)</f>
        <v>78</v>
      </c>
      <c r="L146" s="69"/>
      <c r="M146" s="161"/>
      <c r="N146" s="145"/>
      <c r="O146" s="24"/>
      <c r="P146" s="42"/>
      <c r="Q146" s="68"/>
    </row>
    <row r="147" spans="2:17" s="70" customFormat="1" x14ac:dyDescent="0.15">
      <c r="B147" s="88"/>
      <c r="C147" s="71"/>
      <c r="D147" s="23"/>
      <c r="E147" s="23" t="s">
        <v>265</v>
      </c>
      <c r="F147" s="228">
        <f>(4*14+2*8.4+2*63)*0.5</f>
        <v>99.4</v>
      </c>
      <c r="G147" s="211"/>
      <c r="H147" s="211"/>
      <c r="I147" s="211"/>
      <c r="J147" s="42"/>
      <c r="K147" s="144">
        <f>ROUND(PRODUCT(F147:I147),2)</f>
        <v>99.4</v>
      </c>
      <c r="L147" s="69"/>
      <c r="M147" s="161"/>
      <c r="N147" s="145"/>
      <c r="O147" s="24"/>
      <c r="P147" s="42"/>
      <c r="Q147" s="68"/>
    </row>
    <row r="148" spans="2:17" s="70" customFormat="1" x14ac:dyDescent="0.15">
      <c r="B148" s="88"/>
      <c r="C148" s="71"/>
      <c r="D148" s="23"/>
      <c r="E148" s="42"/>
      <c r="F148" s="228"/>
      <c r="G148" s="211"/>
      <c r="H148" s="211"/>
      <c r="I148" s="211"/>
      <c r="J148" s="42"/>
      <c r="K148" s="144"/>
      <c r="L148" s="69"/>
      <c r="M148" s="161"/>
      <c r="N148" s="145"/>
      <c r="O148" s="24"/>
      <c r="P148" s="42">
        <f t="shared" si="12"/>
        <v>0</v>
      </c>
      <c r="Q148" s="68"/>
    </row>
    <row r="149" spans="2:17" s="70" customFormat="1" ht="11.25" x14ac:dyDescent="0.15">
      <c r="B149" s="88"/>
      <c r="C149" s="71"/>
      <c r="D149" s="23"/>
      <c r="E149" s="42" t="s">
        <v>120</v>
      </c>
      <c r="F149" s="228"/>
      <c r="G149" s="211"/>
      <c r="H149" s="211"/>
      <c r="I149" s="211"/>
      <c r="J149" s="42" t="s">
        <v>119</v>
      </c>
      <c r="K149" s="144">
        <f>ROUND(SUM(K141:K148),2)</f>
        <v>-197.15</v>
      </c>
      <c r="L149" s="69">
        <v>16.309999999999999</v>
      </c>
      <c r="M149" s="160">
        <f>ROUND(PRODUCT(K149:L149),2)</f>
        <v>-3215.52</v>
      </c>
      <c r="N149" s="145"/>
      <c r="O149" s="24">
        <v>0.26</v>
      </c>
      <c r="P149" s="42">
        <f t="shared" si="12"/>
        <v>-51.259</v>
      </c>
      <c r="Q149" s="68"/>
    </row>
    <row r="150" spans="2:17" s="70" customFormat="1" x14ac:dyDescent="0.15">
      <c r="B150" s="88"/>
      <c r="C150" s="71"/>
      <c r="D150" s="102"/>
      <c r="E150" s="103"/>
      <c r="F150" s="230"/>
      <c r="G150" s="213"/>
      <c r="H150" s="213"/>
      <c r="I150" s="213"/>
      <c r="J150" s="44"/>
      <c r="K150" s="146"/>
      <c r="L150" s="69"/>
      <c r="M150" s="161"/>
      <c r="N150" s="145"/>
      <c r="O150" s="24"/>
      <c r="P150" s="42">
        <f t="shared" si="12"/>
        <v>0</v>
      </c>
      <c r="Q150" s="68"/>
    </row>
    <row r="151" spans="2:17" s="70" customFormat="1" ht="52.5" x14ac:dyDescent="0.15">
      <c r="B151" s="88">
        <v>22</v>
      </c>
      <c r="C151" s="71"/>
      <c r="D151" s="23" t="s">
        <v>135</v>
      </c>
      <c r="E151" s="94" t="s">
        <v>134</v>
      </c>
      <c r="F151" s="228"/>
      <c r="G151" s="211"/>
      <c r="H151" s="211"/>
      <c r="I151" s="211"/>
      <c r="J151" s="42"/>
      <c r="K151" s="144"/>
      <c r="L151" s="69"/>
      <c r="M151" s="161"/>
      <c r="N151" s="145"/>
      <c r="O151" s="24"/>
      <c r="P151" s="42">
        <f t="shared" si="12"/>
        <v>0</v>
      </c>
      <c r="Q151" s="68"/>
    </row>
    <row r="152" spans="2:17" s="70" customFormat="1" x14ac:dyDescent="0.15">
      <c r="B152" s="88"/>
      <c r="C152" s="71"/>
      <c r="D152" s="23"/>
      <c r="E152" s="23" t="s">
        <v>17</v>
      </c>
      <c r="F152" s="228"/>
      <c r="G152" s="211"/>
      <c r="H152" s="211"/>
      <c r="I152" s="211"/>
      <c r="J152" s="42"/>
      <c r="K152" s="144"/>
      <c r="L152" s="69"/>
      <c r="M152" s="161"/>
      <c r="N152" s="145"/>
      <c r="O152" s="24"/>
      <c r="P152" s="42">
        <f t="shared" si="12"/>
        <v>0</v>
      </c>
      <c r="Q152" s="68"/>
    </row>
    <row r="153" spans="2:17" s="70" customFormat="1" x14ac:dyDescent="0.15">
      <c r="B153" s="88"/>
      <c r="C153" s="71"/>
      <c r="D153" s="23"/>
      <c r="E153" s="23" t="s">
        <v>74</v>
      </c>
      <c r="F153" s="228">
        <v>-146.25</v>
      </c>
      <c r="G153" s="211"/>
      <c r="H153" s="211"/>
      <c r="I153" s="211">
        <v>70</v>
      </c>
      <c r="J153" s="42"/>
      <c r="K153" s="144">
        <f>ROUND(PRODUCT(F153:I153),2)</f>
        <v>-10237.5</v>
      </c>
      <c r="L153" s="69"/>
      <c r="M153" s="161"/>
      <c r="N153" s="145"/>
      <c r="O153" s="24"/>
      <c r="P153" s="42">
        <f t="shared" si="12"/>
        <v>0</v>
      </c>
      <c r="Q153" s="68"/>
    </row>
    <row r="154" spans="2:17" s="70" customFormat="1" x14ac:dyDescent="0.15">
      <c r="B154" s="88"/>
      <c r="C154" s="71"/>
      <c r="D154" s="23"/>
      <c r="E154" s="23" t="s">
        <v>173</v>
      </c>
      <c r="F154" s="228">
        <f>K127</f>
        <v>1031.47</v>
      </c>
      <c r="G154" s="211"/>
      <c r="H154" s="211"/>
      <c r="I154" s="211">
        <f>(1.58*40)*1.1+0.62*1.3*2+1.61</f>
        <v>72.742000000000004</v>
      </c>
      <c r="J154" s="42"/>
      <c r="K154" s="144">
        <f>ROUND(PRODUCT(F154:I154),2)</f>
        <v>75031.19</v>
      </c>
      <c r="L154" s="69"/>
      <c r="M154" s="161"/>
      <c r="N154" s="145"/>
      <c r="O154" s="24"/>
      <c r="P154" s="42"/>
      <c r="Q154" s="68"/>
    </row>
    <row r="155" spans="2:17" s="70" customFormat="1" x14ac:dyDescent="0.15">
      <c r="B155" s="88"/>
      <c r="C155" s="71"/>
      <c r="D155" s="23"/>
      <c r="E155" s="23" t="s">
        <v>174</v>
      </c>
      <c r="F155" s="228">
        <f>K128</f>
        <v>11</v>
      </c>
      <c r="G155" s="211"/>
      <c r="H155" s="211"/>
      <c r="I155" s="211">
        <v>150</v>
      </c>
      <c r="J155" s="42"/>
      <c r="K155" s="144">
        <f>ROUND(PRODUCT(F155:I155),2)</f>
        <v>1650</v>
      </c>
      <c r="L155" s="69"/>
      <c r="M155" s="161"/>
      <c r="N155" s="145"/>
      <c r="O155" s="24"/>
      <c r="P155" s="42"/>
      <c r="Q155" s="68"/>
    </row>
    <row r="156" spans="2:17" s="70" customFormat="1" x14ac:dyDescent="0.15">
      <c r="B156" s="88"/>
      <c r="C156" s="71"/>
      <c r="D156" s="23"/>
      <c r="E156" s="23"/>
      <c r="F156" s="228"/>
      <c r="G156" s="211"/>
      <c r="H156" s="211"/>
      <c r="I156" s="211"/>
      <c r="J156" s="42"/>
      <c r="K156" s="144"/>
      <c r="L156" s="69"/>
      <c r="M156" s="161"/>
      <c r="N156" s="145"/>
      <c r="O156" s="24"/>
      <c r="P156" s="42"/>
      <c r="Q156" s="68"/>
    </row>
    <row r="157" spans="2:17" s="70" customFormat="1" x14ac:dyDescent="0.15">
      <c r="B157" s="88"/>
      <c r="C157" s="71"/>
      <c r="D157" s="23"/>
      <c r="E157" s="42"/>
      <c r="F157" s="228"/>
      <c r="G157" s="211"/>
      <c r="H157" s="211"/>
      <c r="I157" s="211"/>
      <c r="J157" s="42"/>
      <c r="K157" s="144"/>
      <c r="L157" s="69"/>
      <c r="M157" s="161"/>
      <c r="N157" s="145"/>
      <c r="O157" s="24"/>
      <c r="P157" s="42">
        <f t="shared" si="12"/>
        <v>0</v>
      </c>
      <c r="Q157" s="68"/>
    </row>
    <row r="158" spans="2:17" s="70" customFormat="1" x14ac:dyDescent="0.15">
      <c r="B158" s="88"/>
      <c r="C158" s="71"/>
      <c r="D158" s="23"/>
      <c r="E158" s="42" t="s">
        <v>28</v>
      </c>
      <c r="F158" s="228"/>
      <c r="G158" s="211"/>
      <c r="H158" s="211"/>
      <c r="I158" s="211"/>
      <c r="J158" s="42" t="s">
        <v>121</v>
      </c>
      <c r="K158" s="144">
        <f>ROUND(SUM(K151:K157),2)</f>
        <v>66443.69</v>
      </c>
      <c r="L158" s="72">
        <v>1.39</v>
      </c>
      <c r="M158" s="160">
        <f>ROUND(PRODUCT(K158:L158),2)</f>
        <v>92356.73</v>
      </c>
      <c r="N158" s="145"/>
      <c r="O158" s="24" t="s">
        <v>88</v>
      </c>
      <c r="P158" s="42">
        <f t="shared" si="12"/>
        <v>1328.8738000000001</v>
      </c>
      <c r="Q158" s="68"/>
    </row>
    <row r="159" spans="2:17" s="70" customFormat="1" x14ac:dyDescent="0.15">
      <c r="B159" s="88"/>
      <c r="C159" s="71"/>
      <c r="D159" s="102"/>
      <c r="E159" s="103"/>
      <c r="F159" s="230"/>
      <c r="G159" s="213"/>
      <c r="H159" s="213"/>
      <c r="I159" s="213"/>
      <c r="J159" s="44"/>
      <c r="K159" s="146"/>
      <c r="L159" s="69"/>
      <c r="M159" s="161"/>
      <c r="N159" s="145"/>
      <c r="O159" s="24"/>
      <c r="P159" s="42">
        <f t="shared" si="12"/>
        <v>0</v>
      </c>
      <c r="Q159" s="68"/>
    </row>
    <row r="160" spans="2:17" s="70" customFormat="1" ht="90.75" customHeight="1" x14ac:dyDescent="0.15">
      <c r="B160" s="88">
        <v>23</v>
      </c>
      <c r="C160" s="71"/>
      <c r="D160" s="23" t="s">
        <v>75</v>
      </c>
      <c r="E160" s="23" t="s">
        <v>76</v>
      </c>
      <c r="F160" s="228"/>
      <c r="G160" s="211"/>
      <c r="H160" s="211"/>
      <c r="I160" s="211"/>
      <c r="J160" s="42"/>
      <c r="K160" s="144"/>
      <c r="L160" s="69"/>
      <c r="M160" s="161"/>
      <c r="N160" s="145"/>
      <c r="O160" s="24"/>
      <c r="P160" s="42">
        <f t="shared" si="12"/>
        <v>0</v>
      </c>
      <c r="Q160" s="68"/>
    </row>
    <row r="161" spans="2:17" s="70" customFormat="1" x14ac:dyDescent="0.15">
      <c r="B161" s="88"/>
      <c r="C161" s="71"/>
      <c r="D161" s="23"/>
      <c r="E161" s="23" t="s">
        <v>17</v>
      </c>
      <c r="F161" s="228"/>
      <c r="G161" s="211"/>
      <c r="H161" s="211"/>
      <c r="I161" s="211"/>
      <c r="J161" s="42"/>
      <c r="K161" s="144"/>
      <c r="L161" s="69"/>
      <c r="M161" s="161"/>
      <c r="N161" s="145"/>
      <c r="O161" s="24"/>
      <c r="P161" s="42">
        <f t="shared" si="12"/>
        <v>0</v>
      </c>
      <c r="Q161" s="68"/>
    </row>
    <row r="162" spans="2:17" s="70" customFormat="1" x14ac:dyDescent="0.15">
      <c r="B162" s="88"/>
      <c r="C162" s="71"/>
      <c r="D162" s="23"/>
      <c r="E162" s="23" t="s">
        <v>77</v>
      </c>
      <c r="F162" s="228">
        <v>-980</v>
      </c>
      <c r="G162" s="211"/>
      <c r="H162" s="211"/>
      <c r="I162" s="211"/>
      <c r="J162" s="42"/>
      <c r="K162" s="144">
        <f>ROUND(PRODUCT(F162:I162),2)</f>
        <v>-980</v>
      </c>
      <c r="L162" s="69"/>
      <c r="M162" s="161"/>
      <c r="N162" s="145"/>
      <c r="O162" s="24"/>
      <c r="P162" s="42">
        <f t="shared" si="12"/>
        <v>0</v>
      </c>
      <c r="Q162" s="68"/>
    </row>
    <row r="163" spans="2:17" s="70" customFormat="1" x14ac:dyDescent="0.15">
      <c r="B163" s="88"/>
      <c r="C163" s="71"/>
      <c r="D163" s="23"/>
      <c r="E163" s="23" t="s">
        <v>186</v>
      </c>
      <c r="F163" s="228">
        <v>62</v>
      </c>
      <c r="G163" s="211"/>
      <c r="H163" s="211"/>
      <c r="I163" s="211"/>
      <c r="J163" s="42"/>
      <c r="K163" s="144">
        <f>ROUND(PRODUCT(F163:I163),2)</f>
        <v>62</v>
      </c>
      <c r="L163" s="69"/>
      <c r="M163" s="161"/>
      <c r="N163" s="145"/>
      <c r="O163" s="24"/>
      <c r="P163" s="42">
        <f t="shared" ref="P163" si="14">O163*K163</f>
        <v>0</v>
      </c>
      <c r="Q163" s="68"/>
    </row>
    <row r="164" spans="2:17" s="70" customFormat="1" x14ac:dyDescent="0.15">
      <c r="B164" s="88"/>
      <c r="C164" s="71"/>
      <c r="D164" s="23"/>
      <c r="E164" s="23"/>
      <c r="F164" s="228"/>
      <c r="G164" s="211"/>
      <c r="H164" s="211"/>
      <c r="I164" s="211"/>
      <c r="J164" s="42"/>
      <c r="K164" s="144"/>
      <c r="L164" s="69"/>
      <c r="M164" s="161"/>
      <c r="N164" s="145"/>
      <c r="O164" s="24"/>
      <c r="P164" s="42"/>
      <c r="Q164" s="68"/>
    </row>
    <row r="165" spans="2:17" s="70" customFormat="1" ht="11.25" x14ac:dyDescent="0.15">
      <c r="B165" s="88"/>
      <c r="C165" s="71"/>
      <c r="D165" s="23"/>
      <c r="E165" s="42" t="s">
        <v>18</v>
      </c>
      <c r="F165" s="228"/>
      <c r="G165" s="211"/>
      <c r="H165" s="211"/>
      <c r="I165" s="211"/>
      <c r="J165" s="42" t="s">
        <v>119</v>
      </c>
      <c r="K165" s="144">
        <f>ROUND(SUM(K159:K163),2)</f>
        <v>-918</v>
      </c>
      <c r="L165" s="69">
        <v>40.14</v>
      </c>
      <c r="M165" s="160">
        <f>ROUND(PRODUCT(K165:L165),2)</f>
        <v>-36848.519999999997</v>
      </c>
      <c r="N165" s="145"/>
      <c r="O165" s="24">
        <v>0.96</v>
      </c>
      <c r="P165" s="42">
        <f t="shared" si="12"/>
        <v>-881.28</v>
      </c>
      <c r="Q165" s="68"/>
    </row>
    <row r="166" spans="2:17" s="70" customFormat="1" x14ac:dyDescent="0.15">
      <c r="B166" s="88"/>
      <c r="C166" s="71"/>
      <c r="D166" s="23"/>
      <c r="E166" s="42"/>
      <c r="F166" s="228"/>
      <c r="G166" s="211"/>
      <c r="H166" s="211"/>
      <c r="I166" s="211"/>
      <c r="J166" s="42"/>
      <c r="K166" s="144"/>
      <c r="L166" s="69"/>
      <c r="M166" s="160"/>
      <c r="N166" s="145"/>
      <c r="O166" s="24"/>
      <c r="P166" s="42"/>
      <c r="Q166" s="68"/>
    </row>
    <row r="167" spans="2:17" s="70" customFormat="1" ht="84" x14ac:dyDescent="0.15">
      <c r="B167" s="88">
        <v>24</v>
      </c>
      <c r="C167" s="71"/>
      <c r="D167" s="23" t="s">
        <v>175</v>
      </c>
      <c r="E167" s="23" t="s">
        <v>176</v>
      </c>
      <c r="F167" s="228"/>
      <c r="G167" s="211"/>
      <c r="H167" s="211"/>
      <c r="I167" s="211"/>
      <c r="J167" s="42"/>
      <c r="K167" s="144"/>
      <c r="L167" s="69"/>
      <c r="M167" s="161"/>
      <c r="N167" s="145"/>
      <c r="O167" s="24"/>
      <c r="P167" s="42">
        <f t="shared" ref="P167:P179" si="15">O167*K167</f>
        <v>0</v>
      </c>
      <c r="Q167" s="68"/>
    </row>
    <row r="168" spans="2:17" s="70" customFormat="1" x14ac:dyDescent="0.15">
      <c r="B168" s="88"/>
      <c r="C168" s="71"/>
      <c r="D168" s="23"/>
      <c r="E168" s="23" t="s">
        <v>17</v>
      </c>
      <c r="F168" s="228"/>
      <c r="G168" s="211"/>
      <c r="H168" s="211"/>
      <c r="I168" s="211"/>
      <c r="J168" s="42"/>
      <c r="K168" s="144"/>
      <c r="L168" s="69"/>
      <c r="M168" s="161"/>
      <c r="N168" s="145"/>
      <c r="O168" s="24"/>
      <c r="P168" s="42">
        <f t="shared" si="15"/>
        <v>0</v>
      </c>
      <c r="Q168" s="68"/>
    </row>
    <row r="169" spans="2:17" s="70" customFormat="1" x14ac:dyDescent="0.15">
      <c r="B169" s="88"/>
      <c r="C169" s="71"/>
      <c r="D169" s="23"/>
      <c r="E169" s="23" t="s">
        <v>180</v>
      </c>
      <c r="F169" s="228">
        <f>980-62</f>
        <v>918</v>
      </c>
      <c r="G169" s="211"/>
      <c r="H169" s="211"/>
      <c r="I169" s="211"/>
      <c r="J169" s="42"/>
      <c r="K169" s="144">
        <f>ROUND(PRODUCT(F169:I169),2)</f>
        <v>918</v>
      </c>
      <c r="L169" s="69"/>
      <c r="M169" s="161"/>
      <c r="N169" s="145"/>
      <c r="O169" s="24"/>
      <c r="P169" s="42">
        <f t="shared" si="15"/>
        <v>0</v>
      </c>
      <c r="Q169" s="68"/>
    </row>
    <row r="170" spans="2:17" s="70" customFormat="1" x14ac:dyDescent="0.15">
      <c r="B170" s="88"/>
      <c r="C170" s="71"/>
      <c r="D170" s="23"/>
      <c r="E170" s="42"/>
      <c r="F170" s="228"/>
      <c r="G170" s="211"/>
      <c r="H170" s="211"/>
      <c r="I170" s="211"/>
      <c r="J170" s="42"/>
      <c r="K170" s="144"/>
      <c r="L170" s="69"/>
      <c r="M170" s="161"/>
      <c r="N170" s="145"/>
      <c r="O170" s="24"/>
      <c r="P170" s="42">
        <f t="shared" si="15"/>
        <v>0</v>
      </c>
      <c r="Q170" s="68"/>
    </row>
    <row r="171" spans="2:17" s="70" customFormat="1" ht="11.25" x14ac:dyDescent="0.15">
      <c r="B171" s="88"/>
      <c r="C171" s="71"/>
      <c r="D171" s="23"/>
      <c r="E171" s="42" t="s">
        <v>18</v>
      </c>
      <c r="F171" s="228"/>
      <c r="G171" s="211"/>
      <c r="H171" s="211"/>
      <c r="I171" s="211"/>
      <c r="J171" s="42" t="s">
        <v>119</v>
      </c>
      <c r="K171" s="144">
        <f>ROUND(SUM(K166:K170),2)</f>
        <v>918</v>
      </c>
      <c r="L171" s="69">
        <v>42.31</v>
      </c>
      <c r="M171" s="160">
        <f>ROUND(PRODUCT(K171:L171),2)</f>
        <v>38840.58</v>
      </c>
      <c r="N171" s="145"/>
      <c r="O171" s="24">
        <v>1.22</v>
      </c>
      <c r="P171" s="42">
        <f t="shared" si="15"/>
        <v>1119.96</v>
      </c>
      <c r="Q171" s="68"/>
    </row>
    <row r="172" spans="2:17" s="70" customFormat="1" x14ac:dyDescent="0.15">
      <c r="B172" s="88"/>
      <c r="C172" s="71"/>
      <c r="D172" s="102"/>
      <c r="E172" s="103"/>
      <c r="F172" s="230"/>
      <c r="G172" s="213"/>
      <c r="H172" s="213"/>
      <c r="I172" s="213"/>
      <c r="J172" s="44"/>
      <c r="K172" s="146"/>
      <c r="L172" s="69"/>
      <c r="M172" s="161"/>
      <c r="N172" s="145"/>
      <c r="O172" s="24"/>
      <c r="P172" s="42">
        <f t="shared" si="15"/>
        <v>0</v>
      </c>
      <c r="Q172" s="68"/>
    </row>
    <row r="173" spans="2:17" s="70" customFormat="1" x14ac:dyDescent="0.15">
      <c r="B173" s="88"/>
      <c r="C173" s="71"/>
      <c r="D173" s="102"/>
      <c r="E173" s="103"/>
      <c r="F173" s="230"/>
      <c r="G173" s="213"/>
      <c r="H173" s="213"/>
      <c r="I173" s="213"/>
      <c r="J173" s="44"/>
      <c r="K173" s="146"/>
      <c r="L173" s="69"/>
      <c r="M173" s="161"/>
      <c r="N173" s="145"/>
      <c r="O173" s="24"/>
      <c r="P173" s="42">
        <f t="shared" si="15"/>
        <v>0</v>
      </c>
      <c r="Q173" s="68"/>
    </row>
    <row r="174" spans="2:17" s="70" customFormat="1" ht="21" x14ac:dyDescent="0.15">
      <c r="B174" s="89">
        <v>25</v>
      </c>
      <c r="C174" s="71"/>
      <c r="D174" s="23" t="s">
        <v>177</v>
      </c>
      <c r="E174" s="23" t="s">
        <v>178</v>
      </c>
      <c r="F174" s="228"/>
      <c r="G174" s="211"/>
      <c r="H174" s="211"/>
      <c r="I174" s="211"/>
      <c r="J174" s="42"/>
      <c r="K174" s="144"/>
      <c r="L174" s="69"/>
      <c r="M174" s="161"/>
      <c r="N174" s="145"/>
      <c r="O174" s="24"/>
      <c r="P174" s="42">
        <f t="shared" si="15"/>
        <v>0</v>
      </c>
      <c r="Q174" s="68"/>
    </row>
    <row r="175" spans="2:17" s="70" customFormat="1" x14ac:dyDescent="0.15">
      <c r="B175" s="88"/>
      <c r="C175" s="71"/>
      <c r="D175" s="23"/>
      <c r="E175" s="23" t="s">
        <v>17</v>
      </c>
      <c r="F175" s="228"/>
      <c r="G175" s="211"/>
      <c r="H175" s="211"/>
      <c r="I175" s="211"/>
      <c r="J175" s="42"/>
      <c r="K175" s="144"/>
      <c r="L175" s="69"/>
      <c r="M175" s="161"/>
      <c r="N175" s="145"/>
      <c r="O175" s="24"/>
      <c r="P175" s="42">
        <f t="shared" si="15"/>
        <v>0</v>
      </c>
      <c r="Q175" s="68"/>
    </row>
    <row r="176" spans="2:17" s="70" customFormat="1" x14ac:dyDescent="0.15">
      <c r="B176" s="88"/>
      <c r="C176" s="71"/>
      <c r="D176" s="23"/>
      <c r="E176" s="23" t="s">
        <v>179</v>
      </c>
      <c r="F176" s="228">
        <v>8</v>
      </c>
      <c r="G176" s="211"/>
      <c r="H176" s="211"/>
      <c r="I176" s="211"/>
      <c r="J176" s="42"/>
      <c r="K176" s="144">
        <f>ROUND(PRODUCT(F176:I176),2)</f>
        <v>8</v>
      </c>
      <c r="L176" s="69"/>
      <c r="M176" s="161"/>
      <c r="N176" s="145"/>
      <c r="O176" s="24"/>
      <c r="P176" s="42">
        <f t="shared" si="15"/>
        <v>0</v>
      </c>
      <c r="Q176" s="68"/>
    </row>
    <row r="177" spans="2:17" s="70" customFormat="1" x14ac:dyDescent="0.15">
      <c r="B177" s="88"/>
      <c r="C177" s="71"/>
      <c r="D177" s="23"/>
      <c r="E177" s="42"/>
      <c r="F177" s="228"/>
      <c r="G177" s="211"/>
      <c r="H177" s="211"/>
      <c r="I177" s="211"/>
      <c r="J177" s="42"/>
      <c r="K177" s="144"/>
      <c r="L177" s="69"/>
      <c r="M177" s="161"/>
      <c r="N177" s="145"/>
      <c r="O177" s="24"/>
      <c r="P177" s="42">
        <f t="shared" si="15"/>
        <v>0</v>
      </c>
      <c r="Q177" s="68"/>
    </row>
    <row r="178" spans="2:17" s="70" customFormat="1" x14ac:dyDescent="0.15">
      <c r="B178" s="88"/>
      <c r="C178" s="71"/>
      <c r="D178" s="23"/>
      <c r="E178" s="42" t="s">
        <v>21</v>
      </c>
      <c r="F178" s="228"/>
      <c r="G178" s="211"/>
      <c r="H178" s="211"/>
      <c r="I178" s="211"/>
      <c r="J178" s="42" t="s">
        <v>123</v>
      </c>
      <c r="K178" s="144">
        <f>ROUND(SUM(K174:K177),2)</f>
        <v>8</v>
      </c>
      <c r="L178" s="69">
        <v>47</v>
      </c>
      <c r="M178" s="160">
        <f>ROUND(PRODUCT(K178:L178),2)</f>
        <v>376</v>
      </c>
      <c r="N178" s="145"/>
      <c r="O178" s="24">
        <v>1.3</v>
      </c>
      <c r="P178" s="42">
        <f t="shared" si="15"/>
        <v>10.4</v>
      </c>
      <c r="Q178" s="68"/>
    </row>
    <row r="179" spans="2:17" s="70" customFormat="1" x14ac:dyDescent="0.15">
      <c r="B179" s="88"/>
      <c r="C179" s="71"/>
      <c r="D179" s="102"/>
      <c r="E179" s="103"/>
      <c r="F179" s="230"/>
      <c r="G179" s="213"/>
      <c r="H179" s="213"/>
      <c r="I179" s="213"/>
      <c r="J179" s="44"/>
      <c r="K179" s="146"/>
      <c r="L179" s="69"/>
      <c r="M179" s="161"/>
      <c r="N179" s="145"/>
      <c r="O179" s="24"/>
      <c r="P179" s="42">
        <f t="shared" si="15"/>
        <v>0</v>
      </c>
      <c r="Q179" s="68"/>
    </row>
    <row r="180" spans="2:17" s="70" customFormat="1" x14ac:dyDescent="0.15">
      <c r="B180" s="88"/>
      <c r="C180" s="71"/>
      <c r="D180" s="102"/>
      <c r="E180" s="103"/>
      <c r="F180" s="230"/>
      <c r="G180" s="213"/>
      <c r="H180" s="213"/>
      <c r="I180" s="213"/>
      <c r="J180" s="44"/>
      <c r="K180" s="146"/>
      <c r="L180" s="69"/>
      <c r="M180" s="161"/>
      <c r="N180" s="145"/>
      <c r="O180" s="24"/>
      <c r="P180" s="42">
        <f t="shared" si="12"/>
        <v>0</v>
      </c>
      <c r="Q180" s="68"/>
    </row>
    <row r="181" spans="2:17" s="70" customFormat="1" ht="12.75" x14ac:dyDescent="0.15">
      <c r="B181" s="104"/>
      <c r="C181" s="105"/>
      <c r="D181" s="106"/>
      <c r="E181" s="38" t="str">
        <f>CONCATENATE("Totale fase ",E106)</f>
        <v>Totale fase Opere di fondazione</v>
      </c>
      <c r="F181" s="231"/>
      <c r="G181" s="210"/>
      <c r="H181" s="210"/>
      <c r="I181" s="210"/>
      <c r="J181" s="107"/>
      <c r="K181" s="147"/>
      <c r="L181" s="108"/>
      <c r="M181" s="162"/>
      <c r="N181" s="175">
        <f>SUM(M113:M179)</f>
        <v>261249.45</v>
      </c>
      <c r="O181" s="109"/>
      <c r="P181" s="110"/>
      <c r="Q181" s="111">
        <f>SUM(P113:P179)</f>
        <v>4226.1157000000003</v>
      </c>
    </row>
    <row r="182" spans="2:17" s="70" customFormat="1" x14ac:dyDescent="0.15">
      <c r="B182" s="104"/>
      <c r="C182" s="105"/>
      <c r="D182" s="106"/>
      <c r="E182" s="120"/>
      <c r="F182" s="231"/>
      <c r="G182" s="210"/>
      <c r="H182" s="210"/>
      <c r="I182" s="210"/>
      <c r="J182" s="112"/>
      <c r="K182" s="147"/>
      <c r="L182" s="108"/>
      <c r="M182" s="163"/>
      <c r="N182" s="176"/>
      <c r="O182" s="113"/>
      <c r="P182" s="121"/>
      <c r="Q182" s="116"/>
    </row>
    <row r="183" spans="2:17" s="70" customFormat="1" ht="12.75" x14ac:dyDescent="0.15">
      <c r="B183" s="104"/>
      <c r="C183" s="37" t="s">
        <v>93</v>
      </c>
      <c r="D183" s="106"/>
      <c r="E183" s="38" t="s">
        <v>94</v>
      </c>
      <c r="F183" s="231"/>
      <c r="G183" s="210"/>
      <c r="H183" s="210"/>
      <c r="I183" s="210"/>
      <c r="J183" s="107"/>
      <c r="K183" s="147"/>
      <c r="L183" s="108"/>
      <c r="M183" s="162"/>
      <c r="N183" s="176"/>
      <c r="O183" s="113"/>
      <c r="P183" s="113">
        <f>J183*N183</f>
        <v>0</v>
      </c>
      <c r="Q183" s="116"/>
    </row>
    <row r="184" spans="2:17" s="70" customFormat="1" ht="99" customHeight="1" x14ac:dyDescent="0.15">
      <c r="B184" s="88">
        <v>26</v>
      </c>
      <c r="C184" s="71"/>
      <c r="D184" s="23" t="s">
        <v>143</v>
      </c>
      <c r="E184" s="94" t="s">
        <v>148</v>
      </c>
      <c r="F184" s="229"/>
      <c r="G184" s="212"/>
      <c r="H184" s="212"/>
      <c r="I184" s="212"/>
      <c r="J184" s="24"/>
      <c r="K184" s="145"/>
      <c r="L184" s="117"/>
      <c r="M184" s="164"/>
      <c r="N184" s="145"/>
      <c r="O184" s="24"/>
      <c r="P184" s="24">
        <f t="shared" si="12"/>
        <v>0</v>
      </c>
      <c r="Q184" s="68"/>
    </row>
    <row r="185" spans="2:17" s="70" customFormat="1" x14ac:dyDescent="0.15">
      <c r="B185" s="88"/>
      <c r="C185" s="71"/>
      <c r="D185" s="23"/>
      <c r="E185" s="94" t="s">
        <v>17</v>
      </c>
      <c r="F185" s="229"/>
      <c r="G185" s="212"/>
      <c r="H185" s="212"/>
      <c r="I185" s="212"/>
      <c r="J185" s="24"/>
      <c r="K185" s="145"/>
      <c r="L185" s="117"/>
      <c r="M185" s="164"/>
      <c r="N185" s="145"/>
      <c r="O185" s="24"/>
      <c r="P185" s="24">
        <f t="shared" si="12"/>
        <v>0</v>
      </c>
      <c r="Q185" s="68"/>
    </row>
    <row r="186" spans="2:17" s="70" customFormat="1" x14ac:dyDescent="0.15">
      <c r="B186" s="88"/>
      <c r="C186" s="71"/>
      <c r="D186" s="23"/>
      <c r="E186" s="94" t="s">
        <v>158</v>
      </c>
      <c r="F186" s="229">
        <v>-1</v>
      </c>
      <c r="G186" s="212"/>
      <c r="H186" s="212"/>
      <c r="I186" s="212">
        <v>109500</v>
      </c>
      <c r="J186" s="73"/>
      <c r="K186" s="145">
        <f>ROUND(PRODUCT(F186:I186),2)</f>
        <v>-109500</v>
      </c>
      <c r="L186" s="117"/>
      <c r="M186" s="164"/>
      <c r="N186" s="145"/>
      <c r="O186" s="24"/>
      <c r="P186" s="24">
        <f t="shared" si="12"/>
        <v>0</v>
      </c>
      <c r="Q186" s="68"/>
    </row>
    <row r="187" spans="2:17" s="70" customFormat="1" x14ac:dyDescent="0.15">
      <c r="B187" s="88"/>
      <c r="C187" s="71"/>
      <c r="D187" s="23"/>
      <c r="E187" s="94" t="s">
        <v>144</v>
      </c>
      <c r="F187" s="229">
        <v>10</v>
      </c>
      <c r="G187" s="212">
        <f>2*7.25+2*7.51+6.45</f>
        <v>35.97</v>
      </c>
      <c r="H187" s="212"/>
      <c r="I187" s="212">
        <v>60.3</v>
      </c>
      <c r="J187" s="24"/>
      <c r="K187" s="144">
        <f>ROUND(PRODUCT(F187:I187),2)</f>
        <v>21689.91</v>
      </c>
      <c r="L187" s="117"/>
      <c r="M187" s="164"/>
      <c r="N187" s="145"/>
      <c r="O187" s="24"/>
      <c r="P187" s="24"/>
      <c r="Q187" s="68"/>
    </row>
    <row r="188" spans="2:17" s="70" customFormat="1" x14ac:dyDescent="0.15">
      <c r="B188" s="88"/>
      <c r="C188" s="71"/>
      <c r="D188" s="23"/>
      <c r="E188" s="94" t="s">
        <v>145</v>
      </c>
      <c r="F188" s="229">
        <v>10</v>
      </c>
      <c r="G188" s="212">
        <f>2*10.52+2*6.9</f>
        <v>34.840000000000003</v>
      </c>
      <c r="H188" s="212"/>
      <c r="I188" s="212">
        <v>42.2</v>
      </c>
      <c r="J188" s="24"/>
      <c r="K188" s="144">
        <f t="shared" ref="K188:K201" si="16">ROUND(PRODUCT(F188:I188),2)</f>
        <v>14702.48</v>
      </c>
      <c r="L188" s="117"/>
      <c r="M188" s="164"/>
      <c r="N188" s="145"/>
      <c r="O188" s="24"/>
      <c r="P188" s="24">
        <f t="shared" ref="P188" si="17">O188*K188</f>
        <v>0</v>
      </c>
      <c r="Q188" s="68"/>
    </row>
    <row r="189" spans="2:17" s="70" customFormat="1" x14ac:dyDescent="0.15">
      <c r="B189" s="88"/>
      <c r="C189" s="71"/>
      <c r="D189" s="23"/>
      <c r="E189" s="94" t="s">
        <v>150</v>
      </c>
      <c r="F189" s="229">
        <v>11</v>
      </c>
      <c r="G189" s="212">
        <v>4</v>
      </c>
      <c r="H189" s="212"/>
      <c r="I189" s="212">
        <v>30.7</v>
      </c>
      <c r="J189" s="24"/>
      <c r="K189" s="144">
        <f t="shared" ref="K189" si="18">ROUND(PRODUCT(F189:I189),2)</f>
        <v>1350.8</v>
      </c>
      <c r="L189" s="117"/>
      <c r="M189" s="164"/>
      <c r="N189" s="145"/>
      <c r="O189" s="24"/>
      <c r="P189" s="24">
        <f t="shared" ref="P189" si="19">O189*K189</f>
        <v>0</v>
      </c>
      <c r="Q189" s="68"/>
    </row>
    <row r="190" spans="2:17" s="70" customFormat="1" x14ac:dyDescent="0.15">
      <c r="B190" s="88"/>
      <c r="C190" s="71"/>
      <c r="D190" s="23"/>
      <c r="E190" s="94" t="s">
        <v>146</v>
      </c>
      <c r="F190" s="229">
        <v>4</v>
      </c>
      <c r="G190" s="212">
        <f>2*7.25+2*7.51+7.9</f>
        <v>37.42</v>
      </c>
      <c r="H190" s="212"/>
      <c r="I190" s="212">
        <v>60.3</v>
      </c>
      <c r="J190" s="24"/>
      <c r="K190" s="144">
        <f t="shared" si="16"/>
        <v>9025.7000000000007</v>
      </c>
      <c r="L190" s="117"/>
      <c r="M190" s="164"/>
      <c r="N190" s="145"/>
      <c r="O190" s="24"/>
      <c r="P190" s="24"/>
      <c r="Q190" s="68"/>
    </row>
    <row r="191" spans="2:17" s="70" customFormat="1" x14ac:dyDescent="0.15">
      <c r="B191" s="88"/>
      <c r="C191" s="71"/>
      <c r="D191" s="23"/>
      <c r="E191" s="94" t="s">
        <v>147</v>
      </c>
      <c r="F191" s="229">
        <v>4</v>
      </c>
      <c r="G191" s="212">
        <f>2*13.9+2*6.9</f>
        <v>41.6</v>
      </c>
      <c r="H191" s="212"/>
      <c r="I191" s="212">
        <v>42.2</v>
      </c>
      <c r="J191" s="24"/>
      <c r="K191" s="144">
        <f t="shared" si="16"/>
        <v>7022.08</v>
      </c>
      <c r="L191" s="117"/>
      <c r="M191" s="164"/>
      <c r="N191" s="145"/>
      <c r="O191" s="24"/>
      <c r="P191" s="24">
        <f t="shared" ref="P191" si="20">O191*K191</f>
        <v>0</v>
      </c>
      <c r="Q191" s="68"/>
    </row>
    <row r="192" spans="2:17" s="70" customFormat="1" x14ac:dyDescent="0.15">
      <c r="B192" s="88"/>
      <c r="C192" s="71"/>
      <c r="D192" s="23"/>
      <c r="E192" s="94" t="s">
        <v>149</v>
      </c>
      <c r="F192" s="229">
        <v>2</v>
      </c>
      <c r="G192" s="212">
        <f>3.9+4.54+5.51+7*7+2*6.77</f>
        <v>76.490000000000009</v>
      </c>
      <c r="H192" s="212"/>
      <c r="I192" s="212">
        <v>42.2</v>
      </c>
      <c r="J192" s="24"/>
      <c r="K192" s="144">
        <f t="shared" ref="K192:K197" si="21">ROUND(PRODUCT(F192:I192),2)</f>
        <v>6455.76</v>
      </c>
      <c r="L192" s="117"/>
      <c r="M192" s="164"/>
      <c r="N192" s="145"/>
      <c r="O192" s="24"/>
      <c r="P192" s="24"/>
      <c r="Q192" s="68"/>
    </row>
    <row r="193" spans="2:17" s="70" customFormat="1" x14ac:dyDescent="0.15">
      <c r="B193" s="88"/>
      <c r="C193" s="71"/>
      <c r="D193" s="23"/>
      <c r="E193" s="94" t="s">
        <v>151</v>
      </c>
      <c r="F193" s="229">
        <v>2</v>
      </c>
      <c r="G193" s="212">
        <f>3.9+4.54+5.51+7*7+2*6.77</f>
        <v>76.490000000000009</v>
      </c>
      <c r="H193" s="212"/>
      <c r="I193" s="212">
        <v>42.2</v>
      </c>
      <c r="J193" s="24"/>
      <c r="K193" s="144">
        <f t="shared" si="21"/>
        <v>6455.76</v>
      </c>
      <c r="L193" s="117"/>
      <c r="M193" s="164"/>
      <c r="N193" s="145"/>
      <c r="O193" s="24"/>
      <c r="P193" s="24"/>
      <c r="Q193" s="68"/>
    </row>
    <row r="194" spans="2:17" s="70" customFormat="1" x14ac:dyDescent="0.15">
      <c r="B194" s="88"/>
      <c r="C194" s="71"/>
      <c r="D194" s="23"/>
      <c r="E194" s="94" t="s">
        <v>152</v>
      </c>
      <c r="F194" s="229">
        <v>2</v>
      </c>
      <c r="G194" s="212">
        <f>3.9+4.54+7*7+2*6.77</f>
        <v>70.97999999999999</v>
      </c>
      <c r="H194" s="212"/>
      <c r="I194" s="212">
        <v>42.2</v>
      </c>
      <c r="J194" s="24"/>
      <c r="K194" s="144">
        <f t="shared" si="21"/>
        <v>5990.71</v>
      </c>
      <c r="L194" s="117"/>
      <c r="M194" s="164"/>
      <c r="N194" s="145"/>
      <c r="O194" s="24"/>
      <c r="P194" s="24">
        <f t="shared" ref="P194" si="22">O194*K194</f>
        <v>0</v>
      </c>
      <c r="Q194" s="68"/>
    </row>
    <row r="195" spans="2:17" s="70" customFormat="1" x14ac:dyDescent="0.15">
      <c r="B195" s="88"/>
      <c r="C195" s="71"/>
      <c r="D195" s="23"/>
      <c r="E195" s="94" t="s">
        <v>154</v>
      </c>
      <c r="F195" s="229">
        <v>1</v>
      </c>
      <c r="G195" s="212">
        <v>76</v>
      </c>
      <c r="H195" s="212"/>
      <c r="I195" s="212">
        <v>30.7</v>
      </c>
      <c r="J195" s="24"/>
      <c r="K195" s="144">
        <f t="shared" si="21"/>
        <v>2333.1999999999998</v>
      </c>
      <c r="L195" s="117"/>
      <c r="M195" s="164"/>
      <c r="N195" s="145"/>
      <c r="O195" s="24"/>
      <c r="P195" s="24"/>
      <c r="Q195" s="68"/>
    </row>
    <row r="196" spans="2:17" s="70" customFormat="1" x14ac:dyDescent="0.15">
      <c r="B196" s="88"/>
      <c r="C196" s="71"/>
      <c r="D196" s="23"/>
      <c r="E196" s="94" t="s">
        <v>285</v>
      </c>
      <c r="F196" s="229">
        <v>3</v>
      </c>
      <c r="G196" s="212">
        <v>62.7</v>
      </c>
      <c r="H196" s="212"/>
      <c r="I196" s="212">
        <v>30.7</v>
      </c>
      <c r="J196" s="24"/>
      <c r="K196" s="144">
        <f t="shared" si="21"/>
        <v>5774.67</v>
      </c>
      <c r="L196" s="117"/>
      <c r="M196" s="164"/>
      <c r="N196" s="145"/>
      <c r="O196" s="24"/>
      <c r="P196" s="24"/>
      <c r="Q196" s="68"/>
    </row>
    <row r="197" spans="2:17" s="70" customFormat="1" x14ac:dyDescent="0.15">
      <c r="B197" s="88"/>
      <c r="C197" s="71"/>
      <c r="D197" s="23"/>
      <c r="E197" s="94" t="s">
        <v>153</v>
      </c>
      <c r="F197" s="229">
        <v>1</v>
      </c>
      <c r="G197" s="212">
        <f>3.9+4.54+7*7+2*6.77</f>
        <v>70.97999999999999</v>
      </c>
      <c r="H197" s="212"/>
      <c r="I197" s="212">
        <v>42.2</v>
      </c>
      <c r="J197" s="24"/>
      <c r="K197" s="144">
        <f t="shared" si="21"/>
        <v>2995.36</v>
      </c>
      <c r="L197" s="117"/>
      <c r="M197" s="164"/>
      <c r="N197" s="145"/>
      <c r="O197" s="24"/>
      <c r="P197" s="24">
        <f t="shared" ref="P197" si="23">O197*K197</f>
        <v>0</v>
      </c>
      <c r="Q197" s="68"/>
    </row>
    <row r="198" spans="2:17" s="70" customFormat="1" x14ac:dyDescent="0.15">
      <c r="B198" s="88"/>
      <c r="C198" s="71"/>
      <c r="D198" s="23"/>
      <c r="E198" s="94" t="s">
        <v>155</v>
      </c>
      <c r="F198" s="229">
        <v>8</v>
      </c>
      <c r="G198" s="212">
        <f>7*7+2*6.77</f>
        <v>62.54</v>
      </c>
      <c r="H198" s="212"/>
      <c r="I198" s="212">
        <v>17.95</v>
      </c>
      <c r="J198" s="24"/>
      <c r="K198" s="144">
        <f t="shared" si="16"/>
        <v>8980.74</v>
      </c>
      <c r="L198" s="117"/>
      <c r="M198" s="164"/>
      <c r="N198" s="145"/>
      <c r="O198" s="24"/>
      <c r="P198" s="24">
        <f t="shared" ref="P198" si="24">O198*K198</f>
        <v>0</v>
      </c>
      <c r="Q198" s="68"/>
    </row>
    <row r="199" spans="2:17" s="70" customFormat="1" x14ac:dyDescent="0.15">
      <c r="B199" s="88"/>
      <c r="C199" s="71"/>
      <c r="D199" s="23"/>
      <c r="E199" s="94" t="s">
        <v>156</v>
      </c>
      <c r="F199" s="229">
        <v>20</v>
      </c>
      <c r="G199" s="212">
        <v>80</v>
      </c>
      <c r="H199" s="212"/>
      <c r="I199" s="212">
        <v>17.95</v>
      </c>
      <c r="J199" s="24"/>
      <c r="K199" s="144">
        <f t="shared" ref="K199" si="25">ROUND(PRODUCT(F199:I199),2)</f>
        <v>28720</v>
      </c>
      <c r="L199" s="117"/>
      <c r="M199" s="164"/>
      <c r="N199" s="145"/>
      <c r="O199" s="24"/>
      <c r="P199" s="24">
        <f t="shared" ref="P199" si="26">O199*K199</f>
        <v>0</v>
      </c>
      <c r="Q199" s="68"/>
    </row>
    <row r="200" spans="2:17" s="70" customFormat="1" x14ac:dyDescent="0.15">
      <c r="B200" s="88"/>
      <c r="C200" s="71"/>
      <c r="D200" s="23"/>
      <c r="E200" s="94" t="s">
        <v>156</v>
      </c>
      <c r="F200" s="229">
        <v>8</v>
      </c>
      <c r="G200" s="212">
        <v>15.9</v>
      </c>
      <c r="H200" s="212"/>
      <c r="I200" s="212">
        <v>17.95</v>
      </c>
      <c r="J200" s="24"/>
      <c r="K200" s="144">
        <f t="shared" ref="K200" si="27">ROUND(PRODUCT(F200:I200),2)</f>
        <v>2283.2399999999998</v>
      </c>
      <c r="L200" s="117"/>
      <c r="M200" s="164"/>
      <c r="N200" s="145"/>
      <c r="O200" s="24"/>
      <c r="P200" s="24">
        <f t="shared" ref="P200" si="28">O200*K200</f>
        <v>0</v>
      </c>
      <c r="Q200" s="68"/>
    </row>
    <row r="201" spans="2:17" s="70" customFormat="1" x14ac:dyDescent="0.15">
      <c r="B201" s="88"/>
      <c r="C201" s="71"/>
      <c r="D201" s="23"/>
      <c r="E201" s="94" t="s">
        <v>157</v>
      </c>
      <c r="F201" s="229">
        <v>4</v>
      </c>
      <c r="G201" s="212">
        <v>7.43</v>
      </c>
      <c r="H201" s="212"/>
      <c r="I201" s="212">
        <v>9</v>
      </c>
      <c r="J201" s="24"/>
      <c r="K201" s="144">
        <f t="shared" si="16"/>
        <v>267.48</v>
      </c>
      <c r="L201" s="117"/>
      <c r="M201" s="164"/>
      <c r="N201" s="145"/>
      <c r="O201" s="24"/>
      <c r="P201" s="24"/>
      <c r="Q201" s="68"/>
    </row>
    <row r="202" spans="2:17" s="70" customFormat="1" x14ac:dyDescent="0.15">
      <c r="B202" s="88"/>
      <c r="C202" s="71"/>
      <c r="D202" s="23"/>
      <c r="E202" s="94" t="s">
        <v>157</v>
      </c>
      <c r="F202" s="229">
        <v>28</v>
      </c>
      <c r="G202" s="212">
        <v>7.95</v>
      </c>
      <c r="H202" s="212"/>
      <c r="I202" s="212">
        <v>9</v>
      </c>
      <c r="J202" s="24"/>
      <c r="K202" s="144">
        <f t="shared" ref="K202:K203" si="29">ROUND(PRODUCT(F202:I202),2)</f>
        <v>2003.4</v>
      </c>
      <c r="L202" s="117"/>
      <c r="M202" s="164"/>
      <c r="N202" s="145"/>
      <c r="O202" s="24"/>
      <c r="P202" s="24"/>
      <c r="Q202" s="68"/>
    </row>
    <row r="203" spans="2:17" s="70" customFormat="1" x14ac:dyDescent="0.15">
      <c r="B203" s="88"/>
      <c r="C203" s="71"/>
      <c r="D203" s="23"/>
      <c r="E203" s="94" t="s">
        <v>157</v>
      </c>
      <c r="F203" s="229">
        <v>4</v>
      </c>
      <c r="G203" s="212">
        <v>7.72</v>
      </c>
      <c r="H203" s="212"/>
      <c r="I203" s="212">
        <v>9</v>
      </c>
      <c r="J203" s="24"/>
      <c r="K203" s="144">
        <f t="shared" si="29"/>
        <v>277.92</v>
      </c>
      <c r="L203" s="117"/>
      <c r="M203" s="164"/>
      <c r="N203" s="145"/>
      <c r="O203" s="24"/>
      <c r="P203" s="24"/>
      <c r="Q203" s="68"/>
    </row>
    <row r="204" spans="2:17" s="70" customFormat="1" x14ac:dyDescent="0.15">
      <c r="B204" s="88"/>
      <c r="C204" s="71"/>
      <c r="D204" s="23"/>
      <c r="E204" s="94" t="s">
        <v>157</v>
      </c>
      <c r="F204" s="229">
        <v>8</v>
      </c>
      <c r="G204" s="212">
        <v>7.22</v>
      </c>
      <c r="H204" s="212"/>
      <c r="I204" s="212">
        <v>9</v>
      </c>
      <c r="J204" s="24"/>
      <c r="K204" s="144">
        <f t="shared" ref="K204:K208" si="30">ROUND(PRODUCT(F204:I204),2)</f>
        <v>519.84</v>
      </c>
      <c r="L204" s="117"/>
      <c r="M204" s="164"/>
      <c r="N204" s="145"/>
      <c r="O204" s="24"/>
      <c r="P204" s="24"/>
      <c r="Q204" s="68"/>
    </row>
    <row r="205" spans="2:17" s="70" customFormat="1" x14ac:dyDescent="0.15">
      <c r="B205" s="88"/>
      <c r="C205" s="71"/>
      <c r="D205" s="23"/>
      <c r="E205" s="94" t="s">
        <v>157</v>
      </c>
      <c r="F205" s="229">
        <v>8</v>
      </c>
      <c r="G205" s="212">
        <v>7.74</v>
      </c>
      <c r="H205" s="212"/>
      <c r="I205" s="212">
        <v>9</v>
      </c>
      <c r="J205" s="24"/>
      <c r="K205" s="144">
        <f t="shared" si="30"/>
        <v>557.28</v>
      </c>
      <c r="L205" s="117"/>
      <c r="M205" s="164"/>
      <c r="N205" s="145"/>
      <c r="O205" s="24"/>
      <c r="P205" s="24"/>
      <c r="Q205" s="68"/>
    </row>
    <row r="206" spans="2:17" s="70" customFormat="1" x14ac:dyDescent="0.15">
      <c r="B206" s="88"/>
      <c r="C206" s="71"/>
      <c r="D206" s="23"/>
      <c r="E206" s="94" t="s">
        <v>157</v>
      </c>
      <c r="F206" s="229">
        <v>8</v>
      </c>
      <c r="G206" s="212">
        <v>7.51</v>
      </c>
      <c r="H206" s="212"/>
      <c r="I206" s="212">
        <v>9</v>
      </c>
      <c r="J206" s="24"/>
      <c r="K206" s="144">
        <f t="shared" si="30"/>
        <v>540.72</v>
      </c>
      <c r="L206" s="117"/>
      <c r="M206" s="164"/>
      <c r="N206" s="145"/>
      <c r="O206" s="24"/>
      <c r="P206" s="24"/>
      <c r="Q206" s="68"/>
    </row>
    <row r="207" spans="2:17" s="70" customFormat="1" x14ac:dyDescent="0.15">
      <c r="B207" s="88"/>
      <c r="C207" s="71"/>
      <c r="D207" s="23"/>
      <c r="E207" s="94" t="s">
        <v>157</v>
      </c>
      <c r="F207" s="229">
        <v>12</v>
      </c>
      <c r="G207" s="212">
        <v>6.5</v>
      </c>
      <c r="H207" s="212"/>
      <c r="I207" s="212">
        <v>9</v>
      </c>
      <c r="J207" s="24"/>
      <c r="K207" s="144">
        <f t="shared" si="30"/>
        <v>702</v>
      </c>
      <c r="L207" s="117"/>
      <c r="M207" s="164"/>
      <c r="N207" s="145"/>
      <c r="O207" s="24"/>
      <c r="P207" s="24"/>
      <c r="Q207" s="68"/>
    </row>
    <row r="208" spans="2:17" s="70" customFormat="1" x14ac:dyDescent="0.15">
      <c r="B208" s="88"/>
      <c r="C208" s="71"/>
      <c r="D208" s="23"/>
      <c r="E208" s="94" t="s">
        <v>187</v>
      </c>
      <c r="F208" s="229">
        <v>8</v>
      </c>
      <c r="G208" s="212">
        <v>9.5</v>
      </c>
      <c r="H208" s="212"/>
      <c r="I208" s="212">
        <v>9</v>
      </c>
      <c r="J208" s="24"/>
      <c r="K208" s="144">
        <f t="shared" si="30"/>
        <v>684</v>
      </c>
      <c r="L208" s="117"/>
      <c r="M208" s="164"/>
      <c r="N208" s="145"/>
      <c r="O208" s="24"/>
      <c r="P208" s="24"/>
      <c r="Q208" s="68"/>
    </row>
    <row r="209" spans="2:17" s="70" customFormat="1" x14ac:dyDescent="0.15">
      <c r="B209" s="88"/>
      <c r="C209" s="71"/>
      <c r="D209" s="23"/>
      <c r="E209" s="94" t="s">
        <v>187</v>
      </c>
      <c r="F209" s="229">
        <v>8</v>
      </c>
      <c r="G209" s="212">
        <v>9.35</v>
      </c>
      <c r="H209" s="212"/>
      <c r="I209" s="212">
        <v>9</v>
      </c>
      <c r="J209" s="24"/>
      <c r="K209" s="144">
        <f>ROUND(PRODUCT(F209:I209),2)</f>
        <v>673.2</v>
      </c>
      <c r="L209" s="117"/>
      <c r="M209" s="164"/>
      <c r="N209" s="145"/>
      <c r="O209" s="24"/>
      <c r="P209" s="24"/>
      <c r="Q209" s="68"/>
    </row>
    <row r="210" spans="2:17" s="70" customFormat="1" x14ac:dyDescent="0.15">
      <c r="B210" s="88"/>
      <c r="C210" s="71"/>
      <c r="D210" s="23"/>
      <c r="E210" s="94" t="s">
        <v>282</v>
      </c>
      <c r="F210" s="229">
        <v>70</v>
      </c>
      <c r="G210" s="212">
        <v>0.45</v>
      </c>
      <c r="H210" s="212">
        <v>0.45</v>
      </c>
      <c r="I210" s="212">
        <v>187.5</v>
      </c>
      <c r="J210" s="24"/>
      <c r="K210" s="144">
        <f>ROUND(PRODUCT(F210:I210),2)</f>
        <v>2657.81</v>
      </c>
      <c r="L210" s="117"/>
      <c r="M210" s="164"/>
      <c r="N210" s="145"/>
      <c r="O210" s="24"/>
      <c r="P210" s="24"/>
      <c r="Q210" s="68"/>
    </row>
    <row r="211" spans="2:17" s="70" customFormat="1" x14ac:dyDescent="0.15">
      <c r="B211" s="88"/>
      <c r="C211" s="71"/>
      <c r="D211" s="23"/>
      <c r="E211" s="94" t="s">
        <v>283</v>
      </c>
      <c r="F211" s="229">
        <v>280</v>
      </c>
      <c r="G211" s="212">
        <v>1.25</v>
      </c>
      <c r="H211" s="212"/>
      <c r="I211" s="212">
        <v>3.52</v>
      </c>
      <c r="J211" s="24"/>
      <c r="K211" s="144">
        <f t="shared" ref="K211" si="31">ROUND(PRODUCT(F211:I211),2)</f>
        <v>1232</v>
      </c>
      <c r="L211" s="117"/>
      <c r="M211" s="164"/>
      <c r="N211" s="145"/>
      <c r="O211" s="24"/>
      <c r="P211" s="24"/>
      <c r="Q211" s="68"/>
    </row>
    <row r="212" spans="2:17" s="70" customFormat="1" x14ac:dyDescent="0.15">
      <c r="B212" s="88"/>
      <c r="C212" s="71"/>
      <c r="D212" s="23"/>
      <c r="E212" s="94" t="s">
        <v>286</v>
      </c>
      <c r="F212" s="229"/>
      <c r="G212" s="212"/>
      <c r="H212" s="212"/>
      <c r="I212" s="212"/>
      <c r="J212" s="24"/>
      <c r="K212" s="144">
        <f>SUM(K187:K211)*0.065</f>
        <v>8703.2438999999995</v>
      </c>
      <c r="L212" s="117"/>
      <c r="M212" s="164"/>
      <c r="N212" s="145"/>
      <c r="O212" s="24"/>
      <c r="P212" s="24"/>
      <c r="Q212" s="68"/>
    </row>
    <row r="213" spans="2:17" s="70" customFormat="1" x14ac:dyDescent="0.15">
      <c r="B213" s="88"/>
      <c r="C213" s="71"/>
      <c r="D213" s="23"/>
      <c r="E213" s="94" t="s">
        <v>284</v>
      </c>
      <c r="F213" s="229"/>
      <c r="G213" s="212"/>
      <c r="H213" s="212"/>
      <c r="I213" s="212"/>
      <c r="J213" s="24"/>
      <c r="K213" s="144">
        <f>SUM(K187:K212)*0.03</f>
        <v>4277.9791169999999</v>
      </c>
      <c r="L213" s="117"/>
      <c r="M213" s="164"/>
      <c r="N213" s="145"/>
      <c r="O213" s="24"/>
      <c r="P213" s="24"/>
      <c r="Q213" s="68"/>
    </row>
    <row r="214" spans="2:17" s="70" customFormat="1" x14ac:dyDescent="0.15">
      <c r="B214" s="88"/>
      <c r="C214" s="71"/>
      <c r="D214" s="23"/>
      <c r="E214" s="94"/>
      <c r="F214" s="229"/>
      <c r="G214" s="212"/>
      <c r="H214" s="212"/>
      <c r="I214" s="212"/>
      <c r="J214" s="24"/>
      <c r="K214" s="145"/>
      <c r="L214" s="117"/>
      <c r="M214" s="164"/>
      <c r="N214" s="145"/>
      <c r="O214" s="24"/>
      <c r="P214" s="24">
        <f t="shared" si="12"/>
        <v>0</v>
      </c>
      <c r="Q214" s="68"/>
    </row>
    <row r="215" spans="2:17" s="70" customFormat="1" x14ac:dyDescent="0.15">
      <c r="B215" s="88"/>
      <c r="C215" s="71"/>
      <c r="D215" s="23"/>
      <c r="E215" s="24" t="s">
        <v>28</v>
      </c>
      <c r="F215" s="229"/>
      <c r="G215" s="212"/>
      <c r="H215" s="212"/>
      <c r="I215" s="212"/>
      <c r="J215" s="24" t="s">
        <v>121</v>
      </c>
      <c r="K215" s="145">
        <f>ROUND(SUM(K185:K214),2)</f>
        <v>37377.279999999999</v>
      </c>
      <c r="L215" s="72">
        <v>3.05</v>
      </c>
      <c r="M215" s="145">
        <f>ROUND(PRODUCT(K215:L215),2)</f>
        <v>114000.7</v>
      </c>
      <c r="N215" s="145"/>
      <c r="O215" s="24">
        <v>0.12</v>
      </c>
      <c r="P215" s="24">
        <f t="shared" si="12"/>
        <v>4485.2735999999995</v>
      </c>
      <c r="Q215" s="68"/>
    </row>
    <row r="216" spans="2:17" s="70" customFormat="1" x14ac:dyDescent="0.15">
      <c r="B216" s="122"/>
      <c r="C216" s="71"/>
      <c r="D216" s="102"/>
      <c r="E216" s="103"/>
      <c r="F216" s="230"/>
      <c r="G216" s="213"/>
      <c r="H216" s="213"/>
      <c r="I216" s="213"/>
      <c r="J216" s="44"/>
      <c r="K216" s="146"/>
      <c r="L216" s="69"/>
      <c r="M216" s="161"/>
      <c r="N216" s="145"/>
      <c r="O216" s="24"/>
      <c r="P216" s="42">
        <f t="shared" si="12"/>
        <v>0</v>
      </c>
      <c r="Q216" s="68"/>
    </row>
    <row r="217" spans="2:17" s="70" customFormat="1" ht="52.5" x14ac:dyDescent="0.15">
      <c r="B217" s="122" t="s">
        <v>296</v>
      </c>
      <c r="C217" s="71"/>
      <c r="D217" s="23" t="s">
        <v>287</v>
      </c>
      <c r="E217" s="23" t="s">
        <v>288</v>
      </c>
      <c r="F217" s="228"/>
      <c r="G217" s="211"/>
      <c r="H217" s="211"/>
      <c r="I217" s="211"/>
      <c r="J217" s="42"/>
      <c r="K217" s="144"/>
      <c r="L217" s="69"/>
      <c r="M217" s="161"/>
      <c r="N217" s="145"/>
      <c r="O217" s="24"/>
      <c r="P217" s="42">
        <f t="shared" si="12"/>
        <v>0</v>
      </c>
      <c r="Q217" s="68"/>
    </row>
    <row r="218" spans="2:17" s="70" customFormat="1" x14ac:dyDescent="0.15">
      <c r="B218" s="122"/>
      <c r="C218" s="71"/>
      <c r="D218" s="23"/>
      <c r="E218" s="23" t="s">
        <v>17</v>
      </c>
      <c r="F218" s="228"/>
      <c r="G218" s="211"/>
      <c r="H218" s="211"/>
      <c r="I218" s="211"/>
      <c r="J218" s="42"/>
      <c r="K218" s="144"/>
      <c r="L218" s="69"/>
      <c r="M218" s="161"/>
      <c r="N218" s="145"/>
      <c r="O218" s="24"/>
      <c r="P218" s="42">
        <f t="shared" si="12"/>
        <v>0</v>
      </c>
      <c r="Q218" s="68"/>
    </row>
    <row r="219" spans="2:17" s="70" customFormat="1" x14ac:dyDescent="0.15">
      <c r="B219" s="122"/>
      <c r="C219" s="71"/>
      <c r="D219" s="23"/>
      <c r="E219" s="23" t="s">
        <v>289</v>
      </c>
      <c r="F219" s="228">
        <v>-2</v>
      </c>
      <c r="G219" s="211">
        <v>67</v>
      </c>
      <c r="H219" s="211">
        <v>1.1000000000000001</v>
      </c>
      <c r="I219" s="211">
        <v>10</v>
      </c>
      <c r="J219" s="44"/>
      <c r="K219" s="144">
        <f>ROUND(PRODUCT(F219:I219),2)</f>
        <v>-1474</v>
      </c>
      <c r="L219" s="42"/>
      <c r="M219" s="161"/>
      <c r="N219" s="145"/>
      <c r="O219" s="24"/>
      <c r="P219" s="42">
        <f t="shared" ref="P219" si="32">O219*K219</f>
        <v>0</v>
      </c>
      <c r="Q219" s="68"/>
    </row>
    <row r="220" spans="2:17" s="70" customFormat="1" x14ac:dyDescent="0.15">
      <c r="B220" s="122"/>
      <c r="C220" s="71"/>
      <c r="D220" s="23"/>
      <c r="E220" s="23" t="s">
        <v>293</v>
      </c>
      <c r="F220" s="228">
        <v>2</v>
      </c>
      <c r="G220" s="211">
        <v>67</v>
      </c>
      <c r="H220" s="211">
        <v>1.1000000000000001</v>
      </c>
      <c r="I220" s="211">
        <v>20</v>
      </c>
      <c r="J220" s="44"/>
      <c r="K220" s="144">
        <f>ROUND(PRODUCT(F220:I220),2)</f>
        <v>2948</v>
      </c>
      <c r="L220" s="42"/>
      <c r="M220" s="161"/>
      <c r="N220" s="145"/>
      <c r="O220" s="24"/>
      <c r="P220" s="42">
        <f t="shared" si="12"/>
        <v>0</v>
      </c>
      <c r="Q220" s="68"/>
    </row>
    <row r="221" spans="2:17" s="70" customFormat="1" x14ac:dyDescent="0.15">
      <c r="B221" s="122"/>
      <c r="C221" s="71"/>
      <c r="D221" s="23"/>
      <c r="E221" s="42"/>
      <c r="F221" s="228"/>
      <c r="G221" s="211"/>
      <c r="H221" s="211"/>
      <c r="I221" s="211"/>
      <c r="J221" s="44"/>
      <c r="K221" s="146"/>
      <c r="L221" s="42"/>
      <c r="M221" s="161"/>
      <c r="N221" s="145"/>
      <c r="O221" s="24"/>
      <c r="P221" s="42">
        <f t="shared" si="12"/>
        <v>0</v>
      </c>
      <c r="Q221" s="68"/>
    </row>
    <row r="222" spans="2:17" s="70" customFormat="1" x14ac:dyDescent="0.15">
      <c r="B222" s="88"/>
      <c r="C222" s="71"/>
      <c r="D222" s="23"/>
      <c r="E222" s="24" t="s">
        <v>28</v>
      </c>
      <c r="F222" s="229"/>
      <c r="G222" s="212"/>
      <c r="H222" s="212"/>
      <c r="I222" s="212"/>
      <c r="J222" s="24" t="s">
        <v>121</v>
      </c>
      <c r="K222" s="145">
        <f>ROUND(SUM(K218:K221),2)</f>
        <v>1474</v>
      </c>
      <c r="L222" s="72">
        <v>5.49</v>
      </c>
      <c r="M222" s="145">
        <f>ROUND(PRODUCT(K222:L222),2)</f>
        <v>8092.26</v>
      </c>
      <c r="N222" s="145"/>
      <c r="O222" s="24" t="s">
        <v>290</v>
      </c>
      <c r="P222" s="24">
        <f t="shared" si="12"/>
        <v>117.92</v>
      </c>
      <c r="Q222" s="68"/>
    </row>
    <row r="223" spans="2:17" s="70" customFormat="1" x14ac:dyDescent="0.15">
      <c r="B223" s="122"/>
      <c r="C223" s="71"/>
      <c r="D223" s="102"/>
      <c r="E223" s="103"/>
      <c r="F223" s="230"/>
      <c r="G223" s="213"/>
      <c r="H223" s="213"/>
      <c r="I223" s="213"/>
      <c r="J223" s="44"/>
      <c r="K223" s="146"/>
      <c r="L223" s="69"/>
      <c r="M223" s="161"/>
      <c r="N223" s="145"/>
      <c r="O223" s="24"/>
      <c r="P223" s="42">
        <f t="shared" si="12"/>
        <v>0</v>
      </c>
      <c r="Q223" s="68"/>
    </row>
    <row r="224" spans="2:17" s="70" customFormat="1" x14ac:dyDescent="0.15">
      <c r="B224" s="122" t="s">
        <v>297</v>
      </c>
      <c r="C224" s="71"/>
      <c r="D224" s="23" t="s">
        <v>291</v>
      </c>
      <c r="E224" s="23" t="s">
        <v>292</v>
      </c>
      <c r="F224" s="228"/>
      <c r="G224" s="211"/>
      <c r="H224" s="211"/>
      <c r="I224" s="211"/>
      <c r="J224" s="42"/>
      <c r="K224" s="144"/>
      <c r="L224" s="42"/>
      <c r="M224" s="161"/>
      <c r="N224" s="145"/>
      <c r="O224" s="24"/>
      <c r="P224" s="42">
        <f t="shared" si="12"/>
        <v>0</v>
      </c>
      <c r="Q224" s="68"/>
    </row>
    <row r="225" spans="2:17" s="70" customFormat="1" x14ac:dyDescent="0.15">
      <c r="B225" s="122"/>
      <c r="C225" s="71"/>
      <c r="D225" s="23"/>
      <c r="E225" s="23" t="s">
        <v>17</v>
      </c>
      <c r="F225" s="228"/>
      <c r="G225" s="211"/>
      <c r="H225" s="211"/>
      <c r="I225" s="211"/>
      <c r="J225" s="42"/>
      <c r="K225" s="144"/>
      <c r="L225" s="42"/>
      <c r="M225" s="161"/>
      <c r="N225" s="145"/>
      <c r="O225" s="24"/>
      <c r="P225" s="42">
        <f t="shared" si="12"/>
        <v>0</v>
      </c>
      <c r="Q225" s="68"/>
    </row>
    <row r="226" spans="2:17" s="70" customFormat="1" x14ac:dyDescent="0.15">
      <c r="B226" s="122"/>
      <c r="C226" s="71"/>
      <c r="D226" s="23"/>
      <c r="E226" s="23" t="s">
        <v>294</v>
      </c>
      <c r="F226" s="228">
        <v>1</v>
      </c>
      <c r="G226" s="211"/>
      <c r="H226" s="211"/>
      <c r="I226" s="211">
        <f>K222</f>
        <v>1474</v>
      </c>
      <c r="J226" s="44"/>
      <c r="K226" s="146">
        <f>ROUND(PRODUCT(F226:I226),2)</f>
        <v>1474</v>
      </c>
      <c r="L226" s="69"/>
      <c r="M226" s="160"/>
      <c r="N226" s="145"/>
      <c r="O226" s="24"/>
      <c r="P226" s="42">
        <f t="shared" si="12"/>
        <v>0</v>
      </c>
      <c r="Q226" s="68"/>
    </row>
    <row r="227" spans="2:17" s="70" customFormat="1" x14ac:dyDescent="0.15">
      <c r="B227" s="122"/>
      <c r="C227" s="71"/>
      <c r="D227" s="23"/>
      <c r="E227" s="42"/>
      <c r="F227" s="228"/>
      <c r="G227" s="211"/>
      <c r="H227" s="211"/>
      <c r="I227" s="211"/>
      <c r="J227" s="44"/>
      <c r="K227" s="146"/>
      <c r="L227" s="69"/>
      <c r="M227" s="160"/>
      <c r="N227" s="145"/>
      <c r="O227" s="24"/>
      <c r="P227" s="42">
        <f t="shared" si="12"/>
        <v>0</v>
      </c>
      <c r="Q227" s="68"/>
    </row>
    <row r="228" spans="2:17" s="70" customFormat="1" x14ac:dyDescent="0.15">
      <c r="B228" s="88"/>
      <c r="C228" s="71"/>
      <c r="D228" s="23"/>
      <c r="E228" s="24" t="s">
        <v>28</v>
      </c>
      <c r="F228" s="229"/>
      <c r="G228" s="212"/>
      <c r="H228" s="212"/>
      <c r="I228" s="212"/>
      <c r="J228" s="24" t="s">
        <v>121</v>
      </c>
      <c r="K228" s="145">
        <f>ROUND(SUM(K223:K227),2)</f>
        <v>1474</v>
      </c>
      <c r="L228" s="72">
        <v>1.28</v>
      </c>
      <c r="M228" s="145">
        <f>ROUND(PRODUCT(K228:L228),2)</f>
        <v>1886.72</v>
      </c>
      <c r="N228" s="145"/>
      <c r="O228" s="24">
        <v>0.02</v>
      </c>
      <c r="P228" s="24">
        <f t="shared" si="12"/>
        <v>29.48</v>
      </c>
      <c r="Q228" s="68"/>
    </row>
    <row r="229" spans="2:17" s="70" customFormat="1" x14ac:dyDescent="0.15">
      <c r="B229" s="88"/>
      <c r="C229" s="71"/>
      <c r="D229" s="102"/>
      <c r="E229" s="103"/>
      <c r="F229" s="230"/>
      <c r="G229" s="213"/>
      <c r="H229" s="213"/>
      <c r="I229" s="213"/>
      <c r="J229" s="44"/>
      <c r="K229" s="146"/>
      <c r="L229" s="69"/>
      <c r="M229" s="161"/>
      <c r="N229" s="145"/>
      <c r="O229" s="24"/>
      <c r="P229" s="42">
        <f t="shared" si="12"/>
        <v>0</v>
      </c>
      <c r="Q229" s="68"/>
    </row>
    <row r="230" spans="2:17" s="70" customFormat="1" x14ac:dyDescent="0.15">
      <c r="B230" s="88"/>
      <c r="C230" s="71"/>
      <c r="D230" s="102"/>
      <c r="E230" s="103"/>
      <c r="F230" s="230"/>
      <c r="G230" s="213"/>
      <c r="H230" s="213"/>
      <c r="I230" s="213"/>
      <c r="J230" s="44"/>
      <c r="K230" s="146"/>
      <c r="L230" s="69"/>
      <c r="M230" s="161"/>
      <c r="N230" s="145"/>
      <c r="O230" s="24"/>
      <c r="P230" s="42">
        <f t="shared" si="12"/>
        <v>0</v>
      </c>
      <c r="Q230" s="68"/>
    </row>
    <row r="231" spans="2:17" s="70" customFormat="1" ht="12.75" x14ac:dyDescent="0.15">
      <c r="B231" s="104"/>
      <c r="C231" s="105"/>
      <c r="D231" s="106"/>
      <c r="E231" s="38" t="str">
        <f>CONCATENATE("Totale fase ",E183)</f>
        <v>Totale fase Strutture metalliche</v>
      </c>
      <c r="F231" s="231"/>
      <c r="G231" s="210"/>
      <c r="H231" s="210"/>
      <c r="I231" s="210"/>
      <c r="J231" s="107"/>
      <c r="K231" s="147"/>
      <c r="L231" s="108"/>
      <c r="M231" s="162"/>
      <c r="N231" s="175">
        <f>SUM(M215:M229)</f>
        <v>123979.68</v>
      </c>
      <c r="O231" s="109"/>
      <c r="P231" s="110"/>
      <c r="Q231" s="116">
        <f>SUM(P215:P229)</f>
        <v>4632.6735999999992</v>
      </c>
    </row>
    <row r="232" spans="2:17" s="70" customFormat="1" x14ac:dyDescent="0.15">
      <c r="B232" s="104"/>
      <c r="C232" s="105"/>
      <c r="D232" s="106"/>
      <c r="E232" s="120"/>
      <c r="F232" s="231"/>
      <c r="G232" s="210"/>
      <c r="H232" s="210"/>
      <c r="I232" s="210"/>
      <c r="J232" s="112"/>
      <c r="K232" s="147"/>
      <c r="L232" s="108"/>
      <c r="M232" s="163"/>
      <c r="N232" s="176"/>
      <c r="O232" s="113"/>
      <c r="P232" s="121"/>
      <c r="Q232" s="116"/>
    </row>
    <row r="233" spans="2:17" s="70" customFormat="1" ht="15" x14ac:dyDescent="0.15">
      <c r="B233" s="104"/>
      <c r="C233" s="35" t="s">
        <v>97</v>
      </c>
      <c r="D233" s="106"/>
      <c r="E233" s="36" t="s">
        <v>98</v>
      </c>
      <c r="F233" s="231"/>
      <c r="G233" s="210"/>
      <c r="H233" s="210"/>
      <c r="I233" s="210"/>
      <c r="J233" s="107"/>
      <c r="K233" s="147"/>
      <c r="L233" s="108"/>
      <c r="M233" s="162"/>
      <c r="N233" s="176"/>
      <c r="O233" s="113"/>
      <c r="P233" s="115"/>
      <c r="Q233" s="123"/>
    </row>
    <row r="234" spans="2:17" s="70" customFormat="1" ht="12.75" x14ac:dyDescent="0.15">
      <c r="B234" s="104"/>
      <c r="C234" s="37" t="s">
        <v>95</v>
      </c>
      <c r="D234" s="106"/>
      <c r="E234" s="38" t="s">
        <v>96</v>
      </c>
      <c r="F234" s="231"/>
      <c r="G234" s="210"/>
      <c r="H234" s="210"/>
      <c r="I234" s="210"/>
      <c r="J234" s="107"/>
      <c r="K234" s="147"/>
      <c r="L234" s="108"/>
      <c r="M234" s="162"/>
      <c r="N234" s="176"/>
      <c r="O234" s="113"/>
      <c r="P234" s="113">
        <f>J234*N234</f>
        <v>0</v>
      </c>
      <c r="Q234" s="116"/>
    </row>
    <row r="235" spans="2:17" s="70" customFormat="1" x14ac:dyDescent="0.15">
      <c r="B235" s="246"/>
      <c r="C235" s="71"/>
      <c r="D235" s="23"/>
      <c r="E235" s="42"/>
      <c r="F235" s="228"/>
      <c r="G235" s="211"/>
      <c r="H235" s="211"/>
      <c r="I235" s="211"/>
      <c r="J235" s="44"/>
      <c r="K235" s="146"/>
      <c r="L235" s="69"/>
      <c r="M235" s="160"/>
      <c r="N235" s="145"/>
      <c r="O235" s="24"/>
      <c r="P235" s="42">
        <f t="shared" si="12"/>
        <v>0</v>
      </c>
      <c r="Q235" s="68"/>
    </row>
    <row r="236" spans="2:17" s="70" customFormat="1" x14ac:dyDescent="0.15">
      <c r="B236" s="247"/>
      <c r="C236" s="71"/>
      <c r="D236" s="23"/>
      <c r="E236" s="42" t="s">
        <v>188</v>
      </c>
      <c r="F236" s="228"/>
      <c r="G236" s="211"/>
      <c r="H236" s="211"/>
      <c r="I236" s="211"/>
      <c r="J236" s="44"/>
      <c r="K236" s="146"/>
      <c r="L236" s="69"/>
      <c r="M236" s="160"/>
      <c r="N236" s="145"/>
      <c r="O236" s="24"/>
      <c r="P236" s="42"/>
      <c r="Q236" s="68"/>
    </row>
    <row r="237" spans="2:17" s="70" customFormat="1" x14ac:dyDescent="0.15">
      <c r="B237" s="248"/>
      <c r="C237" s="71"/>
      <c r="D237" s="23"/>
      <c r="E237" s="42" t="s">
        <v>19</v>
      </c>
      <c r="F237" s="228"/>
      <c r="G237" s="211"/>
      <c r="H237" s="211"/>
      <c r="I237" s="211"/>
      <c r="J237" s="44"/>
      <c r="K237" s="146"/>
      <c r="L237" s="69"/>
      <c r="M237" s="160"/>
      <c r="N237" s="145"/>
      <c r="O237" s="24"/>
      <c r="P237" s="42">
        <f t="shared" ref="P237:P254" si="33">O237*K237</f>
        <v>0</v>
      </c>
      <c r="Q237" s="68"/>
    </row>
    <row r="238" spans="2:17" s="70" customFormat="1" ht="12.75" x14ac:dyDescent="0.15">
      <c r="B238" s="104"/>
      <c r="C238" s="105"/>
      <c r="D238" s="106"/>
      <c r="E238" s="38"/>
      <c r="F238" s="231"/>
      <c r="G238" s="210"/>
      <c r="H238" s="210"/>
      <c r="I238" s="210"/>
      <c r="J238" s="107"/>
      <c r="K238" s="147"/>
      <c r="L238" s="108"/>
      <c r="M238" s="162"/>
      <c r="N238" s="175">
        <f>SUM(M235:M236)</f>
        <v>0</v>
      </c>
      <c r="O238" s="109"/>
      <c r="P238" s="110"/>
      <c r="Q238" s="124">
        <f>SUM(P235:P236)</f>
        <v>0</v>
      </c>
    </row>
    <row r="239" spans="2:17" s="70" customFormat="1" x14ac:dyDescent="0.15">
      <c r="B239" s="104"/>
      <c r="C239" s="105"/>
      <c r="D239" s="106"/>
      <c r="E239" s="120"/>
      <c r="F239" s="231"/>
      <c r="G239" s="210"/>
      <c r="H239" s="210"/>
      <c r="I239" s="210"/>
      <c r="J239" s="112"/>
      <c r="K239" s="147"/>
      <c r="L239" s="108"/>
      <c r="M239" s="163"/>
      <c r="N239" s="176"/>
      <c r="O239" s="113"/>
      <c r="P239" s="121"/>
      <c r="Q239" s="116"/>
    </row>
    <row r="240" spans="2:17" s="70" customFormat="1" ht="12.75" x14ac:dyDescent="0.15">
      <c r="B240" s="104"/>
      <c r="C240" s="37" t="s">
        <v>102</v>
      </c>
      <c r="D240" s="106"/>
      <c r="E240" s="38" t="s">
        <v>99</v>
      </c>
      <c r="F240" s="231"/>
      <c r="G240" s="210"/>
      <c r="H240" s="210"/>
      <c r="I240" s="210"/>
      <c r="J240" s="107"/>
      <c r="K240" s="147"/>
      <c r="L240" s="108"/>
      <c r="M240" s="162"/>
      <c r="N240" s="176"/>
      <c r="O240" s="113"/>
      <c r="P240" s="113">
        <f>J240*N240</f>
        <v>0</v>
      </c>
      <c r="Q240" s="116"/>
    </row>
    <row r="241" spans="2:17" s="70" customFormat="1" x14ac:dyDescent="0.15">
      <c r="B241" s="88"/>
      <c r="C241" s="71"/>
      <c r="D241" s="23"/>
      <c r="E241" s="42"/>
      <c r="F241" s="228"/>
      <c r="G241" s="211"/>
      <c r="H241" s="211"/>
      <c r="I241" s="211"/>
      <c r="J241" s="44"/>
      <c r="K241" s="146"/>
      <c r="L241" s="69"/>
      <c r="M241" s="160"/>
      <c r="N241" s="145"/>
      <c r="O241" s="24"/>
      <c r="P241" s="42">
        <f t="shared" si="33"/>
        <v>0</v>
      </c>
      <c r="Q241" s="68"/>
    </row>
    <row r="242" spans="2:17" s="70" customFormat="1" x14ac:dyDescent="0.15">
      <c r="B242" s="88"/>
      <c r="C242" s="71"/>
      <c r="D242" s="23"/>
      <c r="E242" s="42" t="s">
        <v>19</v>
      </c>
      <c r="F242" s="228"/>
      <c r="G242" s="211"/>
      <c r="H242" s="211"/>
      <c r="I242" s="211"/>
      <c r="J242" s="44"/>
      <c r="K242" s="146"/>
      <c r="L242" s="69"/>
      <c r="M242" s="160"/>
      <c r="N242" s="145"/>
      <c r="O242" s="24"/>
      <c r="P242" s="42">
        <f t="shared" si="33"/>
        <v>0</v>
      </c>
      <c r="Q242" s="68"/>
    </row>
    <row r="243" spans="2:17" s="70" customFormat="1" ht="21" x14ac:dyDescent="0.15">
      <c r="B243" s="88">
        <v>29</v>
      </c>
      <c r="C243" s="71"/>
      <c r="D243" s="23" t="s">
        <v>78</v>
      </c>
      <c r="E243" s="23" t="s">
        <v>79</v>
      </c>
      <c r="F243" s="228"/>
      <c r="G243" s="211"/>
      <c r="H243" s="211"/>
      <c r="I243" s="211"/>
      <c r="J243" s="44"/>
      <c r="K243" s="146"/>
      <c r="L243" s="69"/>
      <c r="M243" s="160"/>
      <c r="N243" s="145"/>
      <c r="O243" s="24"/>
      <c r="P243" s="42">
        <f t="shared" si="33"/>
        <v>0</v>
      </c>
      <c r="Q243" s="68"/>
    </row>
    <row r="244" spans="2:17" s="70" customFormat="1" x14ac:dyDescent="0.15">
      <c r="B244" s="88"/>
      <c r="C244" s="71"/>
      <c r="D244" s="23"/>
      <c r="E244" s="23" t="s">
        <v>17</v>
      </c>
      <c r="F244" s="228"/>
      <c r="G244" s="211"/>
      <c r="H244" s="211"/>
      <c r="I244" s="211"/>
      <c r="J244" s="44"/>
      <c r="K244" s="146"/>
      <c r="L244" s="69"/>
      <c r="M244" s="160"/>
      <c r="N244" s="145"/>
      <c r="O244" s="24"/>
      <c r="P244" s="42">
        <f t="shared" si="33"/>
        <v>0</v>
      </c>
      <c r="Q244" s="68"/>
    </row>
    <row r="245" spans="2:17" s="70" customFormat="1" x14ac:dyDescent="0.15">
      <c r="B245" s="88"/>
      <c r="C245" s="71"/>
      <c r="D245" s="23"/>
      <c r="E245" s="23" t="s">
        <v>80</v>
      </c>
      <c r="F245" s="228">
        <v>-1810</v>
      </c>
      <c r="G245" s="211"/>
      <c r="H245" s="211"/>
      <c r="I245" s="211"/>
      <c r="J245" s="44"/>
      <c r="K245" s="146">
        <f>ROUND(PRODUCT(F245:I245),2)</f>
        <v>-1810</v>
      </c>
      <c r="L245" s="69"/>
      <c r="M245" s="160"/>
      <c r="N245" s="145"/>
      <c r="O245" s="24"/>
      <c r="P245" s="42">
        <f t="shared" si="33"/>
        <v>0</v>
      </c>
      <c r="Q245" s="68"/>
    </row>
    <row r="246" spans="2:17" s="70" customFormat="1" x14ac:dyDescent="0.15">
      <c r="B246" s="88"/>
      <c r="C246" s="71"/>
      <c r="D246" s="23"/>
      <c r="E246" s="42"/>
      <c r="F246" s="228"/>
      <c r="G246" s="211"/>
      <c r="H246" s="211"/>
      <c r="I246" s="211"/>
      <c r="J246" s="44"/>
      <c r="K246" s="146"/>
      <c r="L246" s="69"/>
      <c r="M246" s="160"/>
      <c r="N246" s="145"/>
      <c r="O246" s="24"/>
      <c r="P246" s="42">
        <f t="shared" si="33"/>
        <v>0</v>
      </c>
      <c r="Q246" s="68"/>
    </row>
    <row r="247" spans="2:17" s="70" customFormat="1" x14ac:dyDescent="0.15">
      <c r="B247" s="88"/>
      <c r="C247" s="71"/>
      <c r="D247" s="23"/>
      <c r="E247" s="42" t="s">
        <v>18</v>
      </c>
      <c r="F247" s="228"/>
      <c r="G247" s="211"/>
      <c r="H247" s="211"/>
      <c r="I247" s="211"/>
      <c r="J247" s="44" t="s">
        <v>122</v>
      </c>
      <c r="K247" s="146">
        <f>ROUND(SUM(K244:K246),2)</f>
        <v>-1810</v>
      </c>
      <c r="L247" s="69">
        <v>36.67</v>
      </c>
      <c r="M247" s="160">
        <f>ROUND(PRODUCT(K247:L247),2)</f>
        <v>-66372.7</v>
      </c>
      <c r="N247" s="145"/>
      <c r="O247" s="24">
        <v>0.53</v>
      </c>
      <c r="P247" s="42">
        <f t="shared" si="33"/>
        <v>-959.30000000000007</v>
      </c>
      <c r="Q247" s="68"/>
    </row>
    <row r="248" spans="2:17" s="70" customFormat="1" x14ac:dyDescent="0.15">
      <c r="B248" s="88"/>
      <c r="C248" s="71"/>
      <c r="D248" s="23"/>
      <c r="E248" s="42" t="s">
        <v>19</v>
      </c>
      <c r="F248" s="228"/>
      <c r="G248" s="211"/>
      <c r="H248" s="211"/>
      <c r="I248" s="211"/>
      <c r="J248" s="44"/>
      <c r="K248" s="146"/>
      <c r="L248" s="69"/>
      <c r="M248" s="160"/>
      <c r="N248" s="145"/>
      <c r="O248" s="24"/>
      <c r="P248" s="42">
        <f t="shared" si="33"/>
        <v>0</v>
      </c>
      <c r="Q248" s="68"/>
    </row>
    <row r="249" spans="2:17" s="70" customFormat="1" ht="31.5" x14ac:dyDescent="0.15">
      <c r="B249" s="88">
        <v>30</v>
      </c>
      <c r="C249" s="71"/>
      <c r="D249" s="23" t="s">
        <v>245</v>
      </c>
      <c r="E249" s="94" t="s">
        <v>298</v>
      </c>
      <c r="F249" s="228"/>
      <c r="G249" s="211"/>
      <c r="H249" s="211"/>
      <c r="I249" s="211"/>
      <c r="J249" s="44"/>
      <c r="K249" s="146"/>
      <c r="L249" s="69"/>
      <c r="M249" s="160"/>
      <c r="N249" s="145"/>
      <c r="O249" s="24"/>
      <c r="P249" s="42">
        <f t="shared" si="33"/>
        <v>0</v>
      </c>
      <c r="Q249" s="68"/>
    </row>
    <row r="250" spans="2:17" s="70" customFormat="1" x14ac:dyDescent="0.15">
      <c r="B250" s="88"/>
      <c r="C250" s="71"/>
      <c r="D250" s="23"/>
      <c r="E250" s="94" t="s">
        <v>17</v>
      </c>
      <c r="F250" s="228"/>
      <c r="G250" s="211"/>
      <c r="H250" s="211"/>
      <c r="I250" s="211"/>
      <c r="J250" s="44"/>
      <c r="K250" s="146"/>
      <c r="L250" s="69"/>
      <c r="M250" s="160"/>
      <c r="N250" s="145"/>
      <c r="O250" s="24"/>
      <c r="P250" s="42">
        <f t="shared" si="33"/>
        <v>0</v>
      </c>
      <c r="Q250" s="68"/>
    </row>
    <row r="251" spans="2:17" s="70" customFormat="1" x14ac:dyDescent="0.15">
      <c r="B251" s="88"/>
      <c r="C251" s="71"/>
      <c r="D251" s="23"/>
      <c r="E251" s="94" t="s">
        <v>80</v>
      </c>
      <c r="F251" s="228">
        <v>1810</v>
      </c>
      <c r="G251" s="211"/>
      <c r="H251" s="211"/>
      <c r="I251" s="211"/>
      <c r="J251" s="44"/>
      <c r="K251" s="146">
        <f>ROUND(PRODUCT(F251:I251),2)</f>
        <v>1810</v>
      </c>
      <c r="L251" s="69"/>
      <c r="M251" s="160"/>
      <c r="N251" s="145"/>
      <c r="O251" s="24"/>
      <c r="P251" s="42">
        <f t="shared" si="33"/>
        <v>0</v>
      </c>
      <c r="Q251" s="68"/>
    </row>
    <row r="252" spans="2:17" s="70" customFormat="1" x14ac:dyDescent="0.15">
      <c r="B252" s="88"/>
      <c r="C252" s="71"/>
      <c r="D252" s="23"/>
      <c r="E252" s="42"/>
      <c r="F252" s="228"/>
      <c r="G252" s="211"/>
      <c r="H252" s="211"/>
      <c r="I252" s="211"/>
      <c r="J252" s="44"/>
      <c r="K252" s="146"/>
      <c r="L252" s="69"/>
      <c r="M252" s="160"/>
      <c r="N252" s="145"/>
      <c r="O252" s="24"/>
      <c r="P252" s="42">
        <f t="shared" si="33"/>
        <v>0</v>
      </c>
      <c r="Q252" s="68"/>
    </row>
    <row r="253" spans="2:17" s="70" customFormat="1" x14ac:dyDescent="0.15">
      <c r="B253" s="88"/>
      <c r="C253" s="71"/>
      <c r="D253" s="23"/>
      <c r="E253" s="42" t="s">
        <v>18</v>
      </c>
      <c r="F253" s="228"/>
      <c r="G253" s="211"/>
      <c r="H253" s="211"/>
      <c r="I253" s="211"/>
      <c r="J253" s="44" t="s">
        <v>122</v>
      </c>
      <c r="K253" s="146">
        <f>ROUND(SUM(K250:K252),2)</f>
        <v>1810</v>
      </c>
      <c r="L253" s="72">
        <v>45.1</v>
      </c>
      <c r="M253" s="145">
        <f>ROUND(PRODUCT(K253:L253),2)</f>
        <v>81631</v>
      </c>
      <c r="N253" s="145"/>
      <c r="O253" s="24">
        <v>0.8</v>
      </c>
      <c r="P253" s="24">
        <f t="shared" si="33"/>
        <v>1448</v>
      </c>
      <c r="Q253" s="68"/>
    </row>
    <row r="254" spans="2:17" s="70" customFormat="1" x14ac:dyDescent="0.15">
      <c r="B254" s="88"/>
      <c r="C254" s="71"/>
      <c r="D254" s="23"/>
      <c r="E254" s="42" t="s">
        <v>19</v>
      </c>
      <c r="F254" s="228"/>
      <c r="G254" s="211"/>
      <c r="H254" s="211"/>
      <c r="I254" s="211"/>
      <c r="J254" s="44"/>
      <c r="K254" s="146"/>
      <c r="L254" s="69"/>
      <c r="M254" s="160"/>
      <c r="N254" s="145"/>
      <c r="O254" s="24"/>
      <c r="P254" s="42">
        <f t="shared" si="33"/>
        <v>0</v>
      </c>
      <c r="Q254" s="68"/>
    </row>
    <row r="255" spans="2:17" s="70" customFormat="1" x14ac:dyDescent="0.15">
      <c r="B255" s="88"/>
      <c r="C255" s="71"/>
      <c r="D255" s="23"/>
      <c r="E255" s="42" t="s">
        <v>19</v>
      </c>
      <c r="F255" s="228"/>
      <c r="G255" s="211"/>
      <c r="H255" s="211"/>
      <c r="I255" s="211"/>
      <c r="J255" s="44"/>
      <c r="K255" s="146"/>
      <c r="L255" s="69"/>
      <c r="M255" s="160"/>
      <c r="N255" s="145"/>
      <c r="O255" s="24"/>
      <c r="P255" s="42"/>
      <c r="Q255" s="68"/>
    </row>
    <row r="256" spans="2:17" s="70" customFormat="1" ht="25.5" x14ac:dyDescent="0.15">
      <c r="B256" s="104"/>
      <c r="C256" s="105"/>
      <c r="D256" s="106"/>
      <c r="E256" s="38" t="str">
        <f>CONCATENATE("Totale fase ",E240)</f>
        <v>Totale fase Pannellature termoisolanti e coperture</v>
      </c>
      <c r="F256" s="231"/>
      <c r="G256" s="210"/>
      <c r="H256" s="210"/>
      <c r="I256" s="210"/>
      <c r="J256" s="107"/>
      <c r="K256" s="147"/>
      <c r="L256" s="108"/>
      <c r="M256" s="162"/>
      <c r="N256" s="175">
        <f>SUM(M241:M254)</f>
        <v>15258.300000000003</v>
      </c>
      <c r="O256" s="109"/>
      <c r="P256" s="110"/>
      <c r="Q256" s="124">
        <v>0</v>
      </c>
    </row>
    <row r="257" spans="2:17" s="70" customFormat="1" x14ac:dyDescent="0.15">
      <c r="B257" s="104"/>
      <c r="C257" s="105"/>
      <c r="D257" s="106"/>
      <c r="E257" s="120"/>
      <c r="F257" s="231"/>
      <c r="G257" s="210"/>
      <c r="H257" s="210"/>
      <c r="I257" s="210"/>
      <c r="J257" s="112"/>
      <c r="K257" s="147"/>
      <c r="L257" s="108"/>
      <c r="M257" s="163"/>
      <c r="N257" s="176"/>
      <c r="O257" s="113"/>
      <c r="P257" s="121"/>
      <c r="Q257" s="116"/>
    </row>
    <row r="258" spans="2:17" s="70" customFormat="1" ht="12.75" x14ac:dyDescent="0.15">
      <c r="B258" s="104"/>
      <c r="C258" s="37" t="s">
        <v>100</v>
      </c>
      <c r="D258" s="106"/>
      <c r="E258" s="38" t="s">
        <v>101</v>
      </c>
      <c r="F258" s="231"/>
      <c r="G258" s="210"/>
      <c r="H258" s="210"/>
      <c r="I258" s="210"/>
      <c r="J258" s="107"/>
      <c r="K258" s="147"/>
      <c r="L258" s="108"/>
      <c r="M258" s="162"/>
      <c r="N258" s="176"/>
      <c r="O258" s="113"/>
      <c r="P258" s="121"/>
      <c r="Q258" s="116"/>
    </row>
    <row r="259" spans="2:17" s="70" customFormat="1" x14ac:dyDescent="0.15">
      <c r="B259" s="88"/>
      <c r="C259" s="71"/>
      <c r="D259" s="23"/>
      <c r="E259" s="42"/>
      <c r="F259" s="228"/>
      <c r="G259" s="211"/>
      <c r="H259" s="211"/>
      <c r="I259" s="211"/>
      <c r="J259" s="44"/>
      <c r="K259" s="146"/>
      <c r="L259" s="69"/>
      <c r="M259" s="160"/>
      <c r="N259" s="145"/>
      <c r="O259" s="24"/>
      <c r="P259" s="42"/>
      <c r="Q259" s="68"/>
    </row>
    <row r="260" spans="2:17" s="70" customFormat="1" x14ac:dyDescent="0.15">
      <c r="B260" s="88"/>
      <c r="C260" s="71"/>
      <c r="D260" s="23"/>
      <c r="E260" s="42" t="s">
        <v>188</v>
      </c>
      <c r="F260" s="228"/>
      <c r="G260" s="211"/>
      <c r="H260" s="211"/>
      <c r="I260" s="211"/>
      <c r="J260" s="44"/>
      <c r="K260" s="146"/>
      <c r="L260" s="69"/>
      <c r="M260" s="160"/>
      <c r="N260" s="145"/>
      <c r="O260" s="24"/>
      <c r="P260" s="42">
        <f>O260*K260</f>
        <v>0</v>
      </c>
      <c r="Q260" s="68"/>
    </row>
    <row r="261" spans="2:17" s="70" customFormat="1" x14ac:dyDescent="0.15">
      <c r="B261" s="88"/>
      <c r="C261" s="71"/>
      <c r="D261" s="23"/>
      <c r="E261" s="42"/>
      <c r="F261" s="228"/>
      <c r="G261" s="211"/>
      <c r="H261" s="211"/>
      <c r="I261" s="211"/>
      <c r="J261" s="44"/>
      <c r="K261" s="146"/>
      <c r="L261" s="69"/>
      <c r="M261" s="160"/>
      <c r="N261" s="145"/>
      <c r="O261" s="24"/>
      <c r="P261" s="42">
        <f t="shared" ref="P261" si="34">O261*K261</f>
        <v>0</v>
      </c>
      <c r="Q261" s="68"/>
    </row>
    <row r="262" spans="2:17" s="70" customFormat="1" ht="12.75" x14ac:dyDescent="0.15">
      <c r="B262" s="104"/>
      <c r="C262" s="105"/>
      <c r="D262" s="106"/>
      <c r="E262" s="38" t="str">
        <f>CONCATENATE("Totale fase ",E258)</f>
        <v>Totale fase Porte, Portoni ed infissi</v>
      </c>
      <c r="F262" s="231"/>
      <c r="G262" s="210"/>
      <c r="H262" s="210"/>
      <c r="I262" s="210"/>
      <c r="J262" s="107"/>
      <c r="K262" s="147"/>
      <c r="L262" s="108"/>
      <c r="M262" s="162"/>
      <c r="N262" s="175">
        <f>SUM(M259:M261)</f>
        <v>0</v>
      </c>
      <c r="O262" s="109"/>
      <c r="P262" s="110"/>
      <c r="Q262" s="124">
        <f>SUM(P259:P261)</f>
        <v>0</v>
      </c>
    </row>
    <row r="263" spans="2:17" s="70" customFormat="1" x14ac:dyDescent="0.15">
      <c r="B263" s="104"/>
      <c r="C263" s="105"/>
      <c r="D263" s="106"/>
      <c r="E263" s="120"/>
      <c r="F263" s="231"/>
      <c r="G263" s="210"/>
      <c r="H263" s="210"/>
      <c r="I263" s="210"/>
      <c r="J263" s="112"/>
      <c r="K263" s="147"/>
      <c r="L263" s="108"/>
      <c r="M263" s="163"/>
      <c r="N263" s="176"/>
      <c r="O263" s="113"/>
      <c r="P263" s="121"/>
      <c r="Q263" s="116"/>
    </row>
    <row r="264" spans="2:17" s="70" customFormat="1" ht="15" x14ac:dyDescent="0.15">
      <c r="B264" s="104"/>
      <c r="C264" s="35" t="s">
        <v>106</v>
      </c>
      <c r="D264" s="106"/>
      <c r="E264" s="36" t="s">
        <v>107</v>
      </c>
      <c r="F264" s="231"/>
      <c r="G264" s="210"/>
      <c r="H264" s="210"/>
      <c r="I264" s="210"/>
      <c r="J264" s="107"/>
      <c r="K264" s="147"/>
      <c r="L264" s="108"/>
      <c r="M264" s="162"/>
      <c r="N264" s="176"/>
      <c r="O264" s="113"/>
      <c r="P264" s="115"/>
      <c r="Q264" s="123"/>
    </row>
    <row r="265" spans="2:17" s="70" customFormat="1" ht="12.75" x14ac:dyDescent="0.15">
      <c r="B265" s="104"/>
      <c r="C265" s="37" t="s">
        <v>104</v>
      </c>
      <c r="D265" s="106"/>
      <c r="E265" s="38" t="s">
        <v>105</v>
      </c>
      <c r="F265" s="231"/>
      <c r="G265" s="210"/>
      <c r="H265" s="210"/>
      <c r="I265" s="210"/>
      <c r="J265" s="107"/>
      <c r="K265" s="147"/>
      <c r="L265" s="108"/>
      <c r="M265" s="162"/>
      <c r="N265" s="176"/>
      <c r="O265" s="113"/>
      <c r="P265" s="113">
        <f>J265*N265</f>
        <v>0</v>
      </c>
      <c r="Q265" s="116"/>
    </row>
    <row r="266" spans="2:17" s="70" customFormat="1" x14ac:dyDescent="0.15">
      <c r="B266" s="88"/>
      <c r="C266" s="71"/>
      <c r="D266" s="23"/>
      <c r="E266" s="42" t="s">
        <v>19</v>
      </c>
      <c r="F266" s="228"/>
      <c r="G266" s="211"/>
      <c r="H266" s="211"/>
      <c r="I266" s="211"/>
      <c r="J266" s="44"/>
      <c r="K266" s="146"/>
      <c r="L266" s="69"/>
      <c r="M266" s="160"/>
      <c r="N266" s="145"/>
      <c r="O266" s="24"/>
      <c r="P266" s="42">
        <f t="shared" ref="P266:P272" si="35">O266*K266</f>
        <v>0</v>
      </c>
      <c r="Q266" s="68"/>
    </row>
    <row r="267" spans="2:17" s="70" customFormat="1" ht="31.5" x14ac:dyDescent="0.15">
      <c r="B267" s="88">
        <v>31</v>
      </c>
      <c r="C267" s="71"/>
      <c r="D267" s="23" t="s">
        <v>31</v>
      </c>
      <c r="E267" s="23" t="s">
        <v>32</v>
      </c>
      <c r="F267" s="228"/>
      <c r="G267" s="211"/>
      <c r="H267" s="211"/>
      <c r="I267" s="211"/>
      <c r="J267" s="44"/>
      <c r="K267" s="146"/>
      <c r="L267" s="69"/>
      <c r="M267" s="160"/>
      <c r="N267" s="145"/>
      <c r="O267" s="24"/>
      <c r="P267" s="42">
        <f t="shared" si="35"/>
        <v>0</v>
      </c>
      <c r="Q267" s="68"/>
    </row>
    <row r="268" spans="2:17" s="70" customFormat="1" x14ac:dyDescent="0.15">
      <c r="B268" s="88"/>
      <c r="C268" s="71"/>
      <c r="D268" s="23"/>
      <c r="E268" s="23" t="s">
        <v>17</v>
      </c>
      <c r="F268" s="228"/>
      <c r="G268" s="211"/>
      <c r="H268" s="211"/>
      <c r="I268" s="211"/>
      <c r="J268" s="44"/>
      <c r="K268" s="146"/>
      <c r="L268" s="69"/>
      <c r="M268" s="160"/>
      <c r="N268" s="145"/>
      <c r="O268" s="24"/>
      <c r="P268" s="42">
        <f t="shared" si="35"/>
        <v>0</v>
      </c>
      <c r="Q268" s="68"/>
    </row>
    <row r="269" spans="2:17" s="70" customFormat="1" x14ac:dyDescent="0.15">
      <c r="B269" s="88"/>
      <c r="C269" s="71"/>
      <c r="D269" s="23"/>
      <c r="E269" s="23" t="s">
        <v>189</v>
      </c>
      <c r="F269" s="228">
        <v>-250</v>
      </c>
      <c r="G269" s="211"/>
      <c r="H269" s="211"/>
      <c r="I269" s="211"/>
      <c r="J269" s="44"/>
      <c r="K269" s="146">
        <f>ROUND(PRODUCT(F269:I269),2)</f>
        <v>-250</v>
      </c>
      <c r="L269" s="69"/>
      <c r="M269" s="160"/>
      <c r="N269" s="145"/>
      <c r="O269" s="24"/>
      <c r="P269" s="42">
        <f t="shared" si="35"/>
        <v>0</v>
      </c>
      <c r="Q269" s="68"/>
    </row>
    <row r="270" spans="2:17" s="70" customFormat="1" x14ac:dyDescent="0.15">
      <c r="B270" s="88"/>
      <c r="C270" s="71"/>
      <c r="D270" s="23"/>
      <c r="E270" s="23" t="s">
        <v>246</v>
      </c>
      <c r="F270" s="228">
        <v>300</v>
      </c>
      <c r="G270" s="211"/>
      <c r="H270" s="211"/>
      <c r="I270" s="211"/>
      <c r="J270" s="44"/>
      <c r="K270" s="146">
        <f>ROUND(PRODUCT(F270:I270),2)</f>
        <v>300</v>
      </c>
      <c r="L270" s="69"/>
      <c r="M270" s="160"/>
      <c r="N270" s="145"/>
      <c r="O270" s="24"/>
      <c r="P270" s="42">
        <f t="shared" ref="P270" si="36">O270*K270</f>
        <v>0</v>
      </c>
      <c r="Q270" s="68"/>
    </row>
    <row r="271" spans="2:17" s="70" customFormat="1" x14ac:dyDescent="0.15">
      <c r="B271" s="88"/>
      <c r="C271" s="71"/>
      <c r="D271" s="23"/>
      <c r="E271" s="42"/>
      <c r="F271" s="228"/>
      <c r="G271" s="211"/>
      <c r="H271" s="211"/>
      <c r="I271" s="211"/>
      <c r="J271" s="44"/>
      <c r="K271" s="146"/>
      <c r="L271" s="69"/>
      <c r="M271" s="160"/>
      <c r="N271" s="145"/>
      <c r="O271" s="24"/>
      <c r="P271" s="42">
        <f t="shared" si="35"/>
        <v>0</v>
      </c>
      <c r="Q271" s="68"/>
    </row>
    <row r="272" spans="2:17" s="70" customFormat="1" x14ac:dyDescent="0.15">
      <c r="B272" s="88"/>
      <c r="C272" s="71"/>
      <c r="D272" s="23"/>
      <c r="E272" s="42" t="s">
        <v>20</v>
      </c>
      <c r="F272" s="228"/>
      <c r="G272" s="211"/>
      <c r="H272" s="211"/>
      <c r="I272" s="211"/>
      <c r="J272" s="44" t="s">
        <v>118</v>
      </c>
      <c r="K272" s="146">
        <f>ROUND(SUM(K268:K271),2)</f>
        <v>50</v>
      </c>
      <c r="L272" s="69">
        <v>3.31</v>
      </c>
      <c r="M272" s="160">
        <f>ROUND(PRODUCT(K272:L272),2)</f>
        <v>165.5</v>
      </c>
      <c r="N272" s="145"/>
      <c r="O272" s="24" t="s">
        <v>89</v>
      </c>
      <c r="P272" s="42">
        <f t="shared" si="35"/>
        <v>2.5</v>
      </c>
      <c r="Q272" s="68"/>
    </row>
    <row r="273" spans="2:17" s="70" customFormat="1" x14ac:dyDescent="0.15">
      <c r="B273" s="88"/>
      <c r="C273" s="71"/>
      <c r="D273" s="23"/>
      <c r="E273" s="42"/>
      <c r="F273" s="228"/>
      <c r="G273" s="211"/>
      <c r="H273" s="211"/>
      <c r="I273" s="211"/>
      <c r="J273" s="44"/>
      <c r="K273" s="146"/>
      <c r="L273" s="69"/>
      <c r="M273" s="160"/>
      <c r="N273" s="145"/>
      <c r="O273" s="24"/>
      <c r="P273" s="42"/>
      <c r="Q273" s="68"/>
    </row>
    <row r="274" spans="2:17" s="70" customFormat="1" ht="21" x14ac:dyDescent="0.15">
      <c r="B274" s="89">
        <v>32</v>
      </c>
      <c r="C274" s="71"/>
      <c r="D274" s="23" t="s">
        <v>190</v>
      </c>
      <c r="E274" s="125" t="s">
        <v>191</v>
      </c>
      <c r="F274" s="228"/>
      <c r="G274" s="211"/>
      <c r="H274" s="211"/>
      <c r="I274" s="211"/>
      <c r="J274" s="44"/>
      <c r="K274" s="146"/>
      <c r="L274" s="69"/>
      <c r="M274" s="160"/>
      <c r="N274" s="145"/>
      <c r="O274" s="24"/>
      <c r="P274" s="42">
        <f t="shared" ref="P274:P278" si="37">O274*K274</f>
        <v>0</v>
      </c>
      <c r="Q274" s="68"/>
    </row>
    <row r="275" spans="2:17" s="70" customFormat="1" x14ac:dyDescent="0.15">
      <c r="B275" s="88"/>
      <c r="C275" s="71"/>
      <c r="D275" s="23"/>
      <c r="E275" s="23" t="s">
        <v>17</v>
      </c>
      <c r="F275" s="228"/>
      <c r="G275" s="211"/>
      <c r="H275" s="211"/>
      <c r="I275" s="211"/>
      <c r="J275" s="44"/>
      <c r="K275" s="146"/>
      <c r="L275" s="69"/>
      <c r="M275" s="160"/>
      <c r="N275" s="145"/>
      <c r="O275" s="24"/>
      <c r="P275" s="42">
        <f t="shared" si="37"/>
        <v>0</v>
      </c>
      <c r="Q275" s="68"/>
    </row>
    <row r="276" spans="2:17" s="70" customFormat="1" x14ac:dyDescent="0.15">
      <c r="B276" s="88"/>
      <c r="C276" s="71"/>
      <c r="D276" s="23"/>
      <c r="E276" s="23" t="s">
        <v>205</v>
      </c>
      <c r="F276" s="228">
        <v>40</v>
      </c>
      <c r="G276" s="211"/>
      <c r="H276" s="211"/>
      <c r="I276" s="211"/>
      <c r="J276" s="44"/>
      <c r="K276" s="146">
        <f>ROUND(PRODUCT(F276:I276),2)</f>
        <v>40</v>
      </c>
      <c r="L276" s="69"/>
      <c r="M276" s="160"/>
      <c r="N276" s="145"/>
      <c r="O276" s="24"/>
      <c r="P276" s="42">
        <f t="shared" si="37"/>
        <v>0</v>
      </c>
      <c r="Q276" s="68"/>
    </row>
    <row r="277" spans="2:17" s="70" customFormat="1" x14ac:dyDescent="0.15">
      <c r="B277" s="88"/>
      <c r="C277" s="71"/>
      <c r="D277" s="23"/>
      <c r="E277" s="42"/>
      <c r="F277" s="228"/>
      <c r="G277" s="211"/>
      <c r="H277" s="211"/>
      <c r="I277" s="211"/>
      <c r="J277" s="44"/>
      <c r="K277" s="146"/>
      <c r="L277" s="69"/>
      <c r="M277" s="160"/>
      <c r="N277" s="145"/>
      <c r="O277" s="24"/>
      <c r="P277" s="42">
        <f t="shared" si="37"/>
        <v>0</v>
      </c>
      <c r="Q277" s="68"/>
    </row>
    <row r="278" spans="2:17" s="70" customFormat="1" x14ac:dyDescent="0.15">
      <c r="B278" s="88"/>
      <c r="C278" s="71"/>
      <c r="D278" s="23"/>
      <c r="E278" s="42" t="s">
        <v>21</v>
      </c>
      <c r="F278" s="228"/>
      <c r="G278" s="211"/>
      <c r="H278" s="211"/>
      <c r="I278" s="211"/>
      <c r="J278" s="44" t="s">
        <v>123</v>
      </c>
      <c r="K278" s="146">
        <f>ROUND(SUM(K275:K277),2)</f>
        <v>40</v>
      </c>
      <c r="L278" s="69">
        <v>23.04</v>
      </c>
      <c r="M278" s="160">
        <f>ROUND(PRODUCT(K278:L278),2)</f>
        <v>921.6</v>
      </c>
      <c r="N278" s="145"/>
      <c r="O278" s="24">
        <v>0.33</v>
      </c>
      <c r="P278" s="42">
        <f t="shared" si="37"/>
        <v>13.200000000000001</v>
      </c>
      <c r="Q278" s="68"/>
    </row>
    <row r="279" spans="2:17" s="70" customFormat="1" x14ac:dyDescent="0.15">
      <c r="B279" s="88"/>
      <c r="C279" s="71"/>
      <c r="D279" s="23"/>
      <c r="E279" s="42"/>
      <c r="F279" s="228"/>
      <c r="G279" s="211"/>
      <c r="H279" s="211"/>
      <c r="I279" s="211"/>
      <c r="J279" s="44"/>
      <c r="K279" s="146"/>
      <c r="L279" s="69"/>
      <c r="M279" s="160"/>
      <c r="N279" s="145"/>
      <c r="O279" s="24"/>
      <c r="P279" s="42"/>
      <c r="Q279" s="68"/>
    </row>
    <row r="280" spans="2:17" s="70" customFormat="1" ht="21" x14ac:dyDescent="0.15">
      <c r="B280" s="89">
        <v>33</v>
      </c>
      <c r="C280" s="71"/>
      <c r="D280" s="23" t="s">
        <v>192</v>
      </c>
      <c r="E280" s="125" t="s">
        <v>193</v>
      </c>
      <c r="F280" s="228"/>
      <c r="G280" s="211"/>
      <c r="H280" s="211"/>
      <c r="I280" s="211"/>
      <c r="J280" s="44"/>
      <c r="K280" s="146"/>
      <c r="L280" s="69"/>
      <c r="M280" s="160"/>
      <c r="N280" s="145"/>
      <c r="O280" s="24"/>
      <c r="P280" s="42">
        <f t="shared" ref="P280:P284" si="38">O280*K280</f>
        <v>0</v>
      </c>
      <c r="Q280" s="68"/>
    </row>
    <row r="281" spans="2:17" s="70" customFormat="1" x14ac:dyDescent="0.15">
      <c r="B281" s="88"/>
      <c r="C281" s="71"/>
      <c r="D281" s="23"/>
      <c r="E281" s="23" t="s">
        <v>17</v>
      </c>
      <c r="F281" s="228"/>
      <c r="G281" s="211"/>
      <c r="H281" s="211"/>
      <c r="I281" s="211"/>
      <c r="J281" s="44"/>
      <c r="K281" s="146"/>
      <c r="L281" s="69"/>
      <c r="M281" s="160"/>
      <c r="N281" s="145"/>
      <c r="O281" s="24"/>
      <c r="P281" s="42">
        <f t="shared" si="38"/>
        <v>0</v>
      </c>
      <c r="Q281" s="68"/>
    </row>
    <row r="282" spans="2:17" s="70" customFormat="1" x14ac:dyDescent="0.15">
      <c r="B282" s="88"/>
      <c r="C282" s="71"/>
      <c r="D282" s="23"/>
      <c r="E282" s="23" t="s">
        <v>205</v>
      </c>
      <c r="F282" s="228">
        <v>40</v>
      </c>
      <c r="G282" s="211"/>
      <c r="H282" s="211"/>
      <c r="I282" s="211"/>
      <c r="J282" s="44"/>
      <c r="K282" s="146">
        <f>ROUND(PRODUCT(F282:I282),2)</f>
        <v>40</v>
      </c>
      <c r="L282" s="69"/>
      <c r="M282" s="160"/>
      <c r="N282" s="145"/>
      <c r="O282" s="24"/>
      <c r="P282" s="42">
        <f t="shared" si="38"/>
        <v>0</v>
      </c>
      <c r="Q282" s="68"/>
    </row>
    <row r="283" spans="2:17" s="70" customFormat="1" x14ac:dyDescent="0.15">
      <c r="B283" s="88"/>
      <c r="C283" s="71"/>
      <c r="D283" s="23"/>
      <c r="E283" s="42"/>
      <c r="F283" s="228"/>
      <c r="G283" s="211"/>
      <c r="H283" s="211"/>
      <c r="I283" s="211"/>
      <c r="J283" s="44"/>
      <c r="K283" s="146"/>
      <c r="L283" s="69"/>
      <c r="M283" s="160"/>
      <c r="N283" s="145"/>
      <c r="O283" s="24"/>
      <c r="P283" s="42">
        <f t="shared" si="38"/>
        <v>0</v>
      </c>
      <c r="Q283" s="68"/>
    </row>
    <row r="284" spans="2:17" s="70" customFormat="1" x14ac:dyDescent="0.15">
      <c r="B284" s="88"/>
      <c r="C284" s="71"/>
      <c r="D284" s="23"/>
      <c r="E284" s="42" t="s">
        <v>21</v>
      </c>
      <c r="F284" s="228"/>
      <c r="G284" s="211"/>
      <c r="H284" s="211"/>
      <c r="I284" s="211"/>
      <c r="J284" s="44" t="s">
        <v>123</v>
      </c>
      <c r="K284" s="146">
        <f>ROUND(SUM(K281:K283),2)</f>
        <v>40</v>
      </c>
      <c r="L284" s="69">
        <v>9.56</v>
      </c>
      <c r="M284" s="160">
        <f>ROUND(PRODUCT(K284:L284),2)</f>
        <v>382.4</v>
      </c>
      <c r="N284" s="145"/>
      <c r="O284" s="24">
        <v>0.14000000000000001</v>
      </c>
      <c r="P284" s="42">
        <f t="shared" si="38"/>
        <v>5.6000000000000005</v>
      </c>
      <c r="Q284" s="68"/>
    </row>
    <row r="285" spans="2:17" s="70" customFormat="1" x14ac:dyDescent="0.15">
      <c r="B285" s="88"/>
      <c r="C285" s="71"/>
      <c r="D285" s="23"/>
      <c r="E285" s="42"/>
      <c r="F285" s="228"/>
      <c r="G285" s="211"/>
      <c r="H285" s="211"/>
      <c r="I285" s="211"/>
      <c r="J285" s="44"/>
      <c r="K285" s="146"/>
      <c r="L285" s="69"/>
      <c r="M285" s="160"/>
      <c r="N285" s="145"/>
      <c r="O285" s="24"/>
      <c r="P285" s="42"/>
      <c r="Q285" s="68"/>
    </row>
    <row r="286" spans="2:17" s="70" customFormat="1" ht="63" x14ac:dyDescent="0.15">
      <c r="B286" s="89">
        <v>34</v>
      </c>
      <c r="C286" s="71"/>
      <c r="D286" s="23" t="s">
        <v>194</v>
      </c>
      <c r="E286" s="125" t="s">
        <v>195</v>
      </c>
      <c r="F286" s="228"/>
      <c r="G286" s="211"/>
      <c r="H286" s="211"/>
      <c r="I286" s="211"/>
      <c r="J286" s="44"/>
      <c r="K286" s="146"/>
      <c r="L286" s="69"/>
      <c r="M286" s="160"/>
      <c r="N286" s="145"/>
      <c r="O286" s="24"/>
      <c r="P286" s="42">
        <f t="shared" ref="P286:P290" si="39">O286*K286</f>
        <v>0</v>
      </c>
      <c r="Q286" s="68"/>
    </row>
    <row r="287" spans="2:17" s="70" customFormat="1" x14ac:dyDescent="0.15">
      <c r="B287" s="88"/>
      <c r="C287" s="71"/>
      <c r="D287" s="23"/>
      <c r="E287" s="23" t="s">
        <v>17</v>
      </c>
      <c r="F287" s="228"/>
      <c r="G287" s="211"/>
      <c r="H287" s="211"/>
      <c r="I287" s="211"/>
      <c r="J287" s="44"/>
      <c r="K287" s="146"/>
      <c r="L287" s="69"/>
      <c r="M287" s="160"/>
      <c r="N287" s="145"/>
      <c r="O287" s="24"/>
      <c r="P287" s="42">
        <f t="shared" si="39"/>
        <v>0</v>
      </c>
      <c r="Q287" s="68"/>
    </row>
    <row r="288" spans="2:17" s="70" customFormat="1" x14ac:dyDescent="0.15">
      <c r="B288" s="88"/>
      <c r="C288" s="71"/>
      <c r="D288" s="23"/>
      <c r="E288" s="23" t="s">
        <v>247</v>
      </c>
      <c r="F288" s="228">
        <v>18</v>
      </c>
      <c r="G288" s="211"/>
      <c r="H288" s="211"/>
      <c r="I288" s="211"/>
      <c r="J288" s="44"/>
      <c r="K288" s="146">
        <f>ROUND(PRODUCT(F288:I288),2)</f>
        <v>18</v>
      </c>
      <c r="L288" s="69"/>
      <c r="M288" s="160"/>
      <c r="N288" s="145"/>
      <c r="O288" s="24"/>
      <c r="P288" s="42">
        <f t="shared" si="39"/>
        <v>0</v>
      </c>
      <c r="Q288" s="68"/>
    </row>
    <row r="289" spans="2:17" s="70" customFormat="1" x14ac:dyDescent="0.15">
      <c r="B289" s="88"/>
      <c r="C289" s="71"/>
      <c r="D289" s="23"/>
      <c r="E289" s="42"/>
      <c r="F289" s="228"/>
      <c r="G289" s="211"/>
      <c r="H289" s="211"/>
      <c r="I289" s="211"/>
      <c r="J289" s="44"/>
      <c r="K289" s="146"/>
      <c r="L289" s="69"/>
      <c r="M289" s="160"/>
      <c r="N289" s="145"/>
      <c r="O289" s="24"/>
      <c r="P289" s="42">
        <f t="shared" si="39"/>
        <v>0</v>
      </c>
      <c r="Q289" s="68"/>
    </row>
    <row r="290" spans="2:17" s="70" customFormat="1" x14ac:dyDescent="0.15">
      <c r="B290" s="88"/>
      <c r="C290" s="71"/>
      <c r="D290" s="23"/>
      <c r="E290" s="42" t="s">
        <v>21</v>
      </c>
      <c r="F290" s="228"/>
      <c r="G290" s="211"/>
      <c r="H290" s="211"/>
      <c r="I290" s="211"/>
      <c r="J290" s="44" t="s">
        <v>123</v>
      </c>
      <c r="K290" s="146">
        <f>ROUND(SUM(K287:K289),2)</f>
        <v>18</v>
      </c>
      <c r="L290" s="69">
        <v>331.34</v>
      </c>
      <c r="M290" s="160">
        <f>ROUND(PRODUCT(K290:L290),2)</f>
        <v>5964.12</v>
      </c>
      <c r="N290" s="145"/>
      <c r="O290" s="24">
        <v>4.78</v>
      </c>
      <c r="P290" s="42">
        <f t="shared" si="39"/>
        <v>86.04</v>
      </c>
      <c r="Q290" s="68"/>
    </row>
    <row r="291" spans="2:17" s="70" customFormat="1" x14ac:dyDescent="0.15">
      <c r="B291" s="88"/>
      <c r="C291" s="71"/>
      <c r="D291" s="23"/>
      <c r="E291" s="42"/>
      <c r="F291" s="228"/>
      <c r="G291" s="211"/>
      <c r="H291" s="211"/>
      <c r="I291" s="211"/>
      <c r="J291" s="44"/>
      <c r="K291" s="146"/>
      <c r="L291" s="69"/>
      <c r="M291" s="160"/>
      <c r="N291" s="145"/>
      <c r="O291" s="24"/>
      <c r="P291" s="42"/>
      <c r="Q291" s="68"/>
    </row>
    <row r="292" spans="2:17" s="70" customFormat="1" ht="21" x14ac:dyDescent="0.15">
      <c r="B292" s="88">
        <v>35</v>
      </c>
      <c r="C292" s="71"/>
      <c r="D292" s="23" t="s">
        <v>196</v>
      </c>
      <c r="E292" s="126" t="s">
        <v>254</v>
      </c>
      <c r="F292" s="228"/>
      <c r="G292" s="211"/>
      <c r="H292" s="211"/>
      <c r="I292" s="211"/>
      <c r="J292" s="44"/>
      <c r="K292" s="146"/>
      <c r="L292" s="69"/>
      <c r="M292" s="160"/>
      <c r="N292" s="145"/>
      <c r="O292" s="24"/>
      <c r="P292" s="42">
        <f t="shared" ref="P292:P297" si="40">O292*K292</f>
        <v>0</v>
      </c>
      <c r="Q292" s="68"/>
    </row>
    <row r="293" spans="2:17" s="70" customFormat="1" x14ac:dyDescent="0.15">
      <c r="B293" s="88"/>
      <c r="C293" s="71"/>
      <c r="D293" s="23"/>
      <c r="E293" s="23" t="s">
        <v>17</v>
      </c>
      <c r="F293" s="228"/>
      <c r="G293" s="211"/>
      <c r="H293" s="211"/>
      <c r="I293" s="211"/>
      <c r="J293" s="44"/>
      <c r="K293" s="146"/>
      <c r="L293" s="69"/>
      <c r="M293" s="160"/>
      <c r="N293" s="145"/>
      <c r="O293" s="24"/>
      <c r="P293" s="42">
        <f t="shared" si="40"/>
        <v>0</v>
      </c>
      <c r="Q293" s="68"/>
    </row>
    <row r="294" spans="2:17" s="70" customFormat="1" x14ac:dyDescent="0.15">
      <c r="B294" s="88"/>
      <c r="C294" s="71"/>
      <c r="D294" s="23"/>
      <c r="E294" s="23" t="s">
        <v>248</v>
      </c>
      <c r="F294" s="228">
        <v>18</v>
      </c>
      <c r="G294" s="211"/>
      <c r="H294" s="211"/>
      <c r="I294" s="211"/>
      <c r="J294" s="44"/>
      <c r="K294" s="146">
        <f>ROUND(PRODUCT(F294:I294),2)</f>
        <v>18</v>
      </c>
      <c r="L294" s="69"/>
      <c r="M294" s="160"/>
      <c r="N294" s="145"/>
      <c r="O294" s="24"/>
      <c r="P294" s="42">
        <f t="shared" si="40"/>
        <v>0</v>
      </c>
      <c r="Q294" s="68"/>
    </row>
    <row r="295" spans="2:17" s="70" customFormat="1" x14ac:dyDescent="0.15">
      <c r="B295" s="88"/>
      <c r="C295" s="71"/>
      <c r="D295" s="23"/>
      <c r="E295" s="42"/>
      <c r="F295" s="228"/>
      <c r="G295" s="211"/>
      <c r="H295" s="211"/>
      <c r="I295" s="211"/>
      <c r="J295" s="44"/>
      <c r="K295" s="146"/>
      <c r="L295" s="69"/>
      <c r="M295" s="160"/>
      <c r="N295" s="145"/>
      <c r="O295" s="24"/>
      <c r="P295" s="42">
        <f t="shared" si="40"/>
        <v>0</v>
      </c>
      <c r="Q295" s="68"/>
    </row>
    <row r="296" spans="2:17" s="70" customFormat="1" x14ac:dyDescent="0.15">
      <c r="B296" s="88"/>
      <c r="C296" s="71"/>
      <c r="D296" s="23"/>
      <c r="E296" s="42" t="s">
        <v>21</v>
      </c>
      <c r="F296" s="228"/>
      <c r="G296" s="211"/>
      <c r="H296" s="211"/>
      <c r="I296" s="211"/>
      <c r="J296" s="44" t="s">
        <v>123</v>
      </c>
      <c r="K296" s="146">
        <f>ROUND(SUM(K293:K295),2)</f>
        <v>18</v>
      </c>
      <c r="L296" s="69">
        <v>5.99</v>
      </c>
      <c r="M296" s="160">
        <f>ROUND(PRODUCT(K296:L296),2)</f>
        <v>107.82</v>
      </c>
      <c r="N296" s="145"/>
      <c r="O296" s="24">
        <v>0.09</v>
      </c>
      <c r="P296" s="42">
        <f t="shared" si="40"/>
        <v>1.6199999999999999</v>
      </c>
      <c r="Q296" s="68"/>
    </row>
    <row r="297" spans="2:17" s="70" customFormat="1" x14ac:dyDescent="0.15">
      <c r="B297" s="88"/>
      <c r="C297" s="71"/>
      <c r="D297" s="23"/>
      <c r="E297" s="42" t="s">
        <v>19</v>
      </c>
      <c r="F297" s="228"/>
      <c r="G297" s="211"/>
      <c r="H297" s="211"/>
      <c r="I297" s="211"/>
      <c r="J297" s="44"/>
      <c r="K297" s="146"/>
      <c r="L297" s="69"/>
      <c r="M297" s="160"/>
      <c r="N297" s="145"/>
      <c r="O297" s="24"/>
      <c r="P297" s="42">
        <f t="shared" si="40"/>
        <v>0</v>
      </c>
      <c r="Q297" s="68"/>
    </row>
    <row r="298" spans="2:17" s="70" customFormat="1" ht="21" x14ac:dyDescent="0.15">
      <c r="B298" s="88">
        <v>36</v>
      </c>
      <c r="C298" s="71"/>
      <c r="D298" s="23" t="s">
        <v>197</v>
      </c>
      <c r="E298" s="23" t="s">
        <v>198</v>
      </c>
      <c r="F298" s="228"/>
      <c r="G298" s="211"/>
      <c r="H298" s="211"/>
      <c r="I298" s="211"/>
      <c r="J298" s="44"/>
      <c r="K298" s="146"/>
      <c r="L298" s="69"/>
      <c r="M298" s="160"/>
      <c r="N298" s="145"/>
      <c r="O298" s="24"/>
      <c r="P298" s="42">
        <f t="shared" ref="P298:P303" si="41">O298*K298</f>
        <v>0</v>
      </c>
      <c r="Q298" s="68"/>
    </row>
    <row r="299" spans="2:17" s="70" customFormat="1" x14ac:dyDescent="0.15">
      <c r="B299" s="88"/>
      <c r="C299" s="71"/>
      <c r="D299" s="23"/>
      <c r="E299" s="23" t="s">
        <v>17</v>
      </c>
      <c r="F299" s="228"/>
      <c r="G299" s="211"/>
      <c r="H299" s="211"/>
      <c r="I299" s="211"/>
      <c r="J299" s="44"/>
      <c r="K299" s="146"/>
      <c r="L299" s="69"/>
      <c r="M299" s="160"/>
      <c r="N299" s="145"/>
      <c r="O299" s="24"/>
      <c r="P299" s="42">
        <f t="shared" si="41"/>
        <v>0</v>
      </c>
      <c r="Q299" s="68"/>
    </row>
    <row r="300" spans="2:17" s="70" customFormat="1" x14ac:dyDescent="0.15">
      <c r="B300" s="88"/>
      <c r="C300" s="71"/>
      <c r="D300" s="23"/>
      <c r="E300" s="23" t="s">
        <v>248</v>
      </c>
      <c r="F300" s="228">
        <v>210</v>
      </c>
      <c r="G300" s="211"/>
      <c r="H300" s="211"/>
      <c r="I300" s="211"/>
      <c r="J300" s="44"/>
      <c r="K300" s="146">
        <f>ROUND(PRODUCT(F300:I300),2)</f>
        <v>210</v>
      </c>
      <c r="L300" s="69"/>
      <c r="M300" s="160"/>
      <c r="N300" s="145"/>
      <c r="O300" s="24"/>
      <c r="P300" s="42">
        <f t="shared" si="41"/>
        <v>0</v>
      </c>
      <c r="Q300" s="68"/>
    </row>
    <row r="301" spans="2:17" s="70" customFormat="1" x14ac:dyDescent="0.15">
      <c r="B301" s="88"/>
      <c r="C301" s="71"/>
      <c r="D301" s="23"/>
      <c r="E301" s="42"/>
      <c r="F301" s="228"/>
      <c r="G301" s="211"/>
      <c r="H301" s="211"/>
      <c r="I301" s="211"/>
      <c r="J301" s="44"/>
      <c r="K301" s="146"/>
      <c r="L301" s="69"/>
      <c r="M301" s="160"/>
      <c r="N301" s="145"/>
      <c r="O301" s="24"/>
      <c r="P301" s="42">
        <f t="shared" si="41"/>
        <v>0</v>
      </c>
      <c r="Q301" s="68"/>
    </row>
    <row r="302" spans="2:17" s="70" customFormat="1" x14ac:dyDescent="0.15">
      <c r="B302" s="88"/>
      <c r="C302" s="71"/>
      <c r="D302" s="23"/>
      <c r="E302" s="42" t="s">
        <v>21</v>
      </c>
      <c r="F302" s="228"/>
      <c r="G302" s="211"/>
      <c r="H302" s="211"/>
      <c r="I302" s="211"/>
      <c r="J302" s="44" t="s">
        <v>123</v>
      </c>
      <c r="K302" s="146">
        <f>ROUND(SUM(K299:K301),2)</f>
        <v>210</v>
      </c>
      <c r="L302" s="69">
        <v>7.21</v>
      </c>
      <c r="M302" s="160">
        <f>ROUND(PRODUCT(K302:L302),2)</f>
        <v>1514.1</v>
      </c>
      <c r="N302" s="145"/>
      <c r="O302" s="24">
        <v>0.1</v>
      </c>
      <c r="P302" s="42">
        <f t="shared" si="41"/>
        <v>21</v>
      </c>
      <c r="Q302" s="68"/>
    </row>
    <row r="303" spans="2:17" s="70" customFormat="1" x14ac:dyDescent="0.15">
      <c r="B303" s="88"/>
      <c r="C303" s="71"/>
      <c r="D303" s="23"/>
      <c r="E303" s="42" t="s">
        <v>19</v>
      </c>
      <c r="F303" s="228"/>
      <c r="G303" s="211"/>
      <c r="H303" s="211"/>
      <c r="I303" s="211"/>
      <c r="J303" s="44"/>
      <c r="K303" s="146"/>
      <c r="L303" s="69"/>
      <c r="M303" s="160"/>
      <c r="N303" s="145"/>
      <c r="O303" s="24"/>
      <c r="P303" s="42">
        <f t="shared" si="41"/>
        <v>0</v>
      </c>
      <c r="Q303" s="68"/>
    </row>
    <row r="304" spans="2:17" s="70" customFormat="1" ht="105" x14ac:dyDescent="0.15">
      <c r="B304" s="88">
        <v>37</v>
      </c>
      <c r="C304" s="71"/>
      <c r="D304" s="23" t="s">
        <v>199</v>
      </c>
      <c r="E304" s="125" t="s">
        <v>200</v>
      </c>
      <c r="F304" s="228"/>
      <c r="G304" s="211"/>
      <c r="H304" s="211"/>
      <c r="I304" s="211"/>
      <c r="J304" s="44"/>
      <c r="K304" s="146"/>
      <c r="L304" s="69"/>
      <c r="M304" s="160"/>
      <c r="N304" s="145"/>
      <c r="O304" s="24"/>
      <c r="P304" s="42">
        <f t="shared" ref="P304:P333" si="42">O304*K304</f>
        <v>0</v>
      </c>
      <c r="Q304" s="68"/>
    </row>
    <row r="305" spans="2:17" s="70" customFormat="1" x14ac:dyDescent="0.15">
      <c r="B305" s="88"/>
      <c r="C305" s="71"/>
      <c r="D305" s="23"/>
      <c r="E305" s="23" t="s">
        <v>17</v>
      </c>
      <c r="F305" s="228"/>
      <c r="G305" s="211"/>
      <c r="H305" s="211"/>
      <c r="I305" s="211"/>
      <c r="J305" s="44"/>
      <c r="K305" s="146"/>
      <c r="L305" s="69"/>
      <c r="M305" s="160"/>
      <c r="N305" s="145"/>
      <c r="O305" s="24"/>
      <c r="P305" s="42">
        <f t="shared" si="42"/>
        <v>0</v>
      </c>
      <c r="Q305" s="68"/>
    </row>
    <row r="306" spans="2:17" s="70" customFormat="1" x14ac:dyDescent="0.15">
      <c r="B306" s="88"/>
      <c r="C306" s="71"/>
      <c r="D306" s="23"/>
      <c r="E306" s="23" t="s">
        <v>249</v>
      </c>
      <c r="F306" s="228">
        <v>34</v>
      </c>
      <c r="G306" s="211"/>
      <c r="H306" s="211"/>
      <c r="I306" s="211"/>
      <c r="J306" s="44"/>
      <c r="K306" s="146">
        <f>ROUND(PRODUCT(F306:I306),2)</f>
        <v>34</v>
      </c>
      <c r="L306" s="69"/>
      <c r="M306" s="160"/>
      <c r="N306" s="145"/>
      <c r="O306" s="24"/>
      <c r="P306" s="42">
        <f t="shared" si="42"/>
        <v>0</v>
      </c>
      <c r="Q306" s="68"/>
    </row>
    <row r="307" spans="2:17" s="70" customFormat="1" x14ac:dyDescent="0.15">
      <c r="B307" s="88"/>
      <c r="C307" s="71"/>
      <c r="D307" s="23"/>
      <c r="E307" s="42"/>
      <c r="F307" s="228"/>
      <c r="G307" s="211"/>
      <c r="H307" s="211"/>
      <c r="I307" s="211"/>
      <c r="J307" s="44"/>
      <c r="K307" s="146"/>
      <c r="L307" s="69"/>
      <c r="M307" s="160"/>
      <c r="N307" s="145"/>
      <c r="O307" s="24"/>
      <c r="P307" s="42">
        <f t="shared" si="42"/>
        <v>0</v>
      </c>
      <c r="Q307" s="68"/>
    </row>
    <row r="308" spans="2:17" s="70" customFormat="1" x14ac:dyDescent="0.15">
      <c r="B308" s="88"/>
      <c r="C308" s="71"/>
      <c r="D308" s="23"/>
      <c r="E308" s="42" t="s">
        <v>21</v>
      </c>
      <c r="F308" s="228"/>
      <c r="G308" s="211"/>
      <c r="H308" s="211"/>
      <c r="I308" s="211"/>
      <c r="J308" s="44" t="s">
        <v>123</v>
      </c>
      <c r="K308" s="146">
        <f>ROUND(SUM(K305:K307),2)</f>
        <v>34</v>
      </c>
      <c r="L308" s="69">
        <v>37.74</v>
      </c>
      <c r="M308" s="160">
        <f>ROUND(PRODUCT(K308:L308),2)</f>
        <v>1283.1600000000001</v>
      </c>
      <c r="N308" s="145"/>
      <c r="O308" s="24">
        <v>0.54</v>
      </c>
      <c r="P308" s="42">
        <f t="shared" si="42"/>
        <v>18.36</v>
      </c>
      <c r="Q308" s="68"/>
    </row>
    <row r="309" spans="2:17" s="70" customFormat="1" x14ac:dyDescent="0.15">
      <c r="B309" s="88"/>
      <c r="C309" s="71"/>
      <c r="D309" s="23"/>
      <c r="E309" s="42" t="s">
        <v>19</v>
      </c>
      <c r="F309" s="228"/>
      <c r="G309" s="211"/>
      <c r="H309" s="211"/>
      <c r="I309" s="211"/>
      <c r="J309" s="44"/>
      <c r="K309" s="146"/>
      <c r="L309" s="69"/>
      <c r="M309" s="160"/>
      <c r="N309" s="145"/>
      <c r="O309" s="24"/>
      <c r="P309" s="42">
        <f t="shared" si="42"/>
        <v>0</v>
      </c>
      <c r="Q309" s="68"/>
    </row>
    <row r="310" spans="2:17" s="70" customFormat="1" x14ac:dyDescent="0.15">
      <c r="B310" s="88">
        <v>38</v>
      </c>
      <c r="C310" s="71"/>
      <c r="D310" s="23" t="s">
        <v>201</v>
      </c>
      <c r="E310" s="125" t="s">
        <v>202</v>
      </c>
      <c r="F310" s="228"/>
      <c r="G310" s="211"/>
      <c r="H310" s="211"/>
      <c r="I310" s="211"/>
      <c r="J310" s="44"/>
      <c r="K310" s="146"/>
      <c r="L310" s="69"/>
      <c r="M310" s="160"/>
      <c r="N310" s="145"/>
      <c r="O310" s="24"/>
      <c r="P310" s="42">
        <f t="shared" ref="P310:P315" si="43">O310*K310</f>
        <v>0</v>
      </c>
      <c r="Q310" s="68"/>
    </row>
    <row r="311" spans="2:17" s="70" customFormat="1" x14ac:dyDescent="0.15">
      <c r="B311" s="88"/>
      <c r="C311" s="71"/>
      <c r="D311" s="23"/>
      <c r="E311" s="23" t="s">
        <v>17</v>
      </c>
      <c r="F311" s="228"/>
      <c r="G311" s="211"/>
      <c r="H311" s="211"/>
      <c r="I311" s="211"/>
      <c r="J311" s="44"/>
      <c r="K311" s="146"/>
      <c r="L311" s="69"/>
      <c r="M311" s="160"/>
      <c r="N311" s="145"/>
      <c r="O311" s="24"/>
      <c r="P311" s="42">
        <f t="shared" si="43"/>
        <v>0</v>
      </c>
      <c r="Q311" s="68"/>
    </row>
    <row r="312" spans="2:17" s="70" customFormat="1" x14ac:dyDescent="0.15">
      <c r="B312" s="88"/>
      <c r="C312" s="71"/>
      <c r="D312" s="23"/>
      <c r="E312" s="23" t="s">
        <v>249</v>
      </c>
      <c r="F312" s="228">
        <v>68</v>
      </c>
      <c r="G312" s="211"/>
      <c r="H312" s="211"/>
      <c r="I312" s="211"/>
      <c r="J312" s="44"/>
      <c r="K312" s="146">
        <f>ROUND(PRODUCT(F312:I312),2)</f>
        <v>68</v>
      </c>
      <c r="L312" s="69"/>
      <c r="M312" s="160"/>
      <c r="N312" s="145"/>
      <c r="O312" s="24"/>
      <c r="P312" s="42">
        <f t="shared" si="43"/>
        <v>0</v>
      </c>
      <c r="Q312" s="68"/>
    </row>
    <row r="313" spans="2:17" s="70" customFormat="1" x14ac:dyDescent="0.15">
      <c r="B313" s="88"/>
      <c r="C313" s="71"/>
      <c r="D313" s="23"/>
      <c r="E313" s="42"/>
      <c r="F313" s="228"/>
      <c r="G313" s="211"/>
      <c r="H313" s="211"/>
      <c r="I313" s="211"/>
      <c r="J313" s="44"/>
      <c r="K313" s="146"/>
      <c r="L313" s="69"/>
      <c r="M313" s="160"/>
      <c r="N313" s="145"/>
      <c r="O313" s="24"/>
      <c r="P313" s="42">
        <f t="shared" si="43"/>
        <v>0</v>
      </c>
      <c r="Q313" s="68"/>
    </row>
    <row r="314" spans="2:17" s="70" customFormat="1" x14ac:dyDescent="0.15">
      <c r="B314" s="88"/>
      <c r="C314" s="71"/>
      <c r="D314" s="23"/>
      <c r="E314" s="42" t="s">
        <v>21</v>
      </c>
      <c r="F314" s="228"/>
      <c r="G314" s="211"/>
      <c r="H314" s="211"/>
      <c r="I314" s="211"/>
      <c r="J314" s="44" t="s">
        <v>123</v>
      </c>
      <c r="K314" s="146">
        <f>ROUND(SUM(K311:K313),2)</f>
        <v>68</v>
      </c>
      <c r="L314" s="69">
        <v>17.8</v>
      </c>
      <c r="M314" s="160">
        <f>ROUND(PRODUCT(K314:L314),2)</f>
        <v>1210.4000000000001</v>
      </c>
      <c r="N314" s="145"/>
      <c r="O314" s="24">
        <v>0.26</v>
      </c>
      <c r="P314" s="42">
        <f t="shared" si="43"/>
        <v>17.68</v>
      </c>
      <c r="Q314" s="68"/>
    </row>
    <row r="315" spans="2:17" s="70" customFormat="1" x14ac:dyDescent="0.15">
      <c r="B315" s="88"/>
      <c r="C315" s="71"/>
      <c r="D315" s="23"/>
      <c r="E315" s="42" t="s">
        <v>19</v>
      </c>
      <c r="F315" s="228"/>
      <c r="G315" s="211"/>
      <c r="H315" s="211"/>
      <c r="I315" s="211"/>
      <c r="J315" s="44"/>
      <c r="K315" s="146"/>
      <c r="L315" s="69"/>
      <c r="M315" s="160"/>
      <c r="N315" s="145"/>
      <c r="O315" s="24"/>
      <c r="P315" s="42">
        <f t="shared" si="43"/>
        <v>0</v>
      </c>
      <c r="Q315" s="68"/>
    </row>
    <row r="316" spans="2:17" s="70" customFormat="1" ht="94.5" x14ac:dyDescent="0.15">
      <c r="B316" s="88">
        <v>39</v>
      </c>
      <c r="C316" s="71"/>
      <c r="D316" s="23" t="s">
        <v>203</v>
      </c>
      <c r="E316" s="125" t="s">
        <v>204</v>
      </c>
      <c r="F316" s="228"/>
      <c r="G316" s="211"/>
      <c r="H316" s="211"/>
      <c r="I316" s="211"/>
      <c r="J316" s="44"/>
      <c r="K316" s="146"/>
      <c r="L316" s="69"/>
      <c r="M316" s="160"/>
      <c r="N316" s="145"/>
      <c r="O316" s="24"/>
      <c r="P316" s="42">
        <f t="shared" si="42"/>
        <v>0</v>
      </c>
      <c r="Q316" s="68"/>
    </row>
    <row r="317" spans="2:17" s="70" customFormat="1" x14ac:dyDescent="0.15">
      <c r="B317" s="88"/>
      <c r="C317" s="71"/>
      <c r="D317" s="23"/>
      <c r="E317" s="23" t="s">
        <v>17</v>
      </c>
      <c r="F317" s="228"/>
      <c r="G317" s="211"/>
      <c r="H317" s="211"/>
      <c r="I317" s="211"/>
      <c r="J317" s="44"/>
      <c r="K317" s="146"/>
      <c r="L317" s="69"/>
      <c r="M317" s="160"/>
      <c r="N317" s="145"/>
      <c r="O317" s="24"/>
      <c r="P317" s="42">
        <f t="shared" si="42"/>
        <v>0</v>
      </c>
      <c r="Q317" s="68"/>
    </row>
    <row r="318" spans="2:17" s="70" customFormat="1" x14ac:dyDescent="0.15">
      <c r="B318" s="88"/>
      <c r="C318" s="71"/>
      <c r="D318" s="23"/>
      <c r="E318" s="23" t="s">
        <v>249</v>
      </c>
      <c r="F318" s="228">
        <v>115</v>
      </c>
      <c r="G318" s="211"/>
      <c r="H318" s="211"/>
      <c r="I318" s="211"/>
      <c r="J318" s="44"/>
      <c r="K318" s="146">
        <f>ROUND(PRODUCT(F318:I318),2)</f>
        <v>115</v>
      </c>
      <c r="L318" s="69"/>
      <c r="M318" s="160"/>
      <c r="N318" s="145"/>
      <c r="O318" s="24"/>
      <c r="P318" s="42">
        <f t="shared" si="42"/>
        <v>0</v>
      </c>
      <c r="Q318" s="68"/>
    </row>
    <row r="319" spans="2:17" s="70" customFormat="1" x14ac:dyDescent="0.15">
      <c r="B319" s="88"/>
      <c r="C319" s="71"/>
      <c r="D319" s="23"/>
      <c r="E319" s="42"/>
      <c r="F319" s="228"/>
      <c r="G319" s="211"/>
      <c r="H319" s="211"/>
      <c r="I319" s="211"/>
      <c r="J319" s="44"/>
      <c r="K319" s="146"/>
      <c r="L319" s="69"/>
      <c r="M319" s="160"/>
      <c r="N319" s="145"/>
      <c r="O319" s="24"/>
      <c r="P319" s="42">
        <f t="shared" si="42"/>
        <v>0</v>
      </c>
      <c r="Q319" s="68"/>
    </row>
    <row r="320" spans="2:17" s="70" customFormat="1" x14ac:dyDescent="0.15">
      <c r="B320" s="88"/>
      <c r="C320" s="71"/>
      <c r="D320" s="23"/>
      <c r="E320" s="42" t="s">
        <v>21</v>
      </c>
      <c r="F320" s="228"/>
      <c r="G320" s="211"/>
      <c r="H320" s="211"/>
      <c r="I320" s="211"/>
      <c r="J320" s="44" t="s">
        <v>123</v>
      </c>
      <c r="K320" s="146">
        <f>ROUND(SUM(K317:K319),2)</f>
        <v>115</v>
      </c>
      <c r="L320" s="69">
        <v>115</v>
      </c>
      <c r="M320" s="160">
        <f>ROUND(PRODUCT(K320:L320),2)</f>
        <v>13225</v>
      </c>
      <c r="N320" s="145"/>
      <c r="O320" s="24">
        <v>1.32</v>
      </c>
      <c r="P320" s="42">
        <f t="shared" si="42"/>
        <v>151.80000000000001</v>
      </c>
      <c r="Q320" s="68"/>
    </row>
    <row r="321" spans="2:17" s="70" customFormat="1" x14ac:dyDescent="0.15">
      <c r="B321" s="88"/>
      <c r="C321" s="71"/>
      <c r="D321" s="23"/>
      <c r="E321" s="42" t="s">
        <v>19</v>
      </c>
      <c r="F321" s="228"/>
      <c r="G321" s="211"/>
      <c r="H321" s="211"/>
      <c r="I321" s="211"/>
      <c r="J321" s="44"/>
      <c r="K321" s="146"/>
      <c r="L321" s="69"/>
      <c r="M321" s="160"/>
      <c r="N321" s="145"/>
      <c r="O321" s="24"/>
      <c r="P321" s="42">
        <f t="shared" si="42"/>
        <v>0</v>
      </c>
      <c r="Q321" s="68"/>
    </row>
    <row r="322" spans="2:17" s="70" customFormat="1" ht="73.5" x14ac:dyDescent="0.15">
      <c r="B322" s="88">
        <v>40</v>
      </c>
      <c r="C322" s="71"/>
      <c r="D322" s="23" t="s">
        <v>36</v>
      </c>
      <c r="E322" s="23" t="s">
        <v>181</v>
      </c>
      <c r="F322" s="228"/>
      <c r="G322" s="211"/>
      <c r="H322" s="211"/>
      <c r="I322" s="211"/>
      <c r="J322" s="44"/>
      <c r="K322" s="146"/>
      <c r="L322" s="69"/>
      <c r="M322" s="160"/>
      <c r="N322" s="145"/>
      <c r="O322" s="24"/>
      <c r="P322" s="42">
        <f t="shared" si="42"/>
        <v>0</v>
      </c>
      <c r="Q322" s="68"/>
    </row>
    <row r="323" spans="2:17" s="70" customFormat="1" x14ac:dyDescent="0.15">
      <c r="B323" s="88"/>
      <c r="C323" s="71"/>
      <c r="D323" s="23"/>
      <c r="E323" s="23" t="s">
        <v>17</v>
      </c>
      <c r="F323" s="228"/>
      <c r="G323" s="211"/>
      <c r="H323" s="211"/>
      <c r="I323" s="211"/>
      <c r="J323" s="44"/>
      <c r="K323" s="146"/>
      <c r="L323" s="69"/>
      <c r="M323" s="160"/>
      <c r="N323" s="145"/>
      <c r="O323" s="24"/>
      <c r="P323" s="42">
        <f t="shared" si="42"/>
        <v>0</v>
      </c>
      <c r="Q323" s="68"/>
    </row>
    <row r="324" spans="2:17" s="70" customFormat="1" x14ac:dyDescent="0.15">
      <c r="B324" s="88"/>
      <c r="C324" s="71"/>
      <c r="D324" s="23"/>
      <c r="E324" s="23" t="s">
        <v>206</v>
      </c>
      <c r="F324" s="228">
        <v>-14</v>
      </c>
      <c r="G324" s="211"/>
      <c r="H324" s="211"/>
      <c r="I324" s="211"/>
      <c r="J324" s="44"/>
      <c r="K324" s="146">
        <f>ROUND(PRODUCT(F324:I324),2)</f>
        <v>-14</v>
      </c>
      <c r="L324" s="69"/>
      <c r="M324" s="160"/>
      <c r="N324" s="145"/>
      <c r="O324" s="24"/>
      <c r="P324" s="42">
        <f t="shared" si="42"/>
        <v>0</v>
      </c>
      <c r="Q324" s="68"/>
    </row>
    <row r="325" spans="2:17" s="70" customFormat="1" x14ac:dyDescent="0.15">
      <c r="B325" s="88"/>
      <c r="C325" s="71"/>
      <c r="D325" s="23"/>
      <c r="E325" s="42"/>
      <c r="F325" s="228"/>
      <c r="G325" s="211"/>
      <c r="H325" s="211"/>
      <c r="I325" s="211"/>
      <c r="J325" s="44"/>
      <c r="K325" s="146"/>
      <c r="L325" s="69"/>
      <c r="M325" s="160"/>
      <c r="N325" s="145"/>
      <c r="O325" s="24"/>
      <c r="P325" s="42">
        <f t="shared" si="42"/>
        <v>0</v>
      </c>
      <c r="Q325" s="68"/>
    </row>
    <row r="326" spans="2:17" s="70" customFormat="1" x14ac:dyDescent="0.15">
      <c r="B326" s="88"/>
      <c r="C326" s="71"/>
      <c r="D326" s="23"/>
      <c r="E326" s="42" t="s">
        <v>21</v>
      </c>
      <c r="F326" s="228"/>
      <c r="G326" s="211"/>
      <c r="H326" s="211"/>
      <c r="I326" s="211"/>
      <c r="J326" s="44" t="s">
        <v>123</v>
      </c>
      <c r="K326" s="146">
        <f>ROUND(SUM(K323:K325),2)</f>
        <v>-14</v>
      </c>
      <c r="L326" s="69">
        <v>319.64</v>
      </c>
      <c r="M326" s="160">
        <f>ROUND(PRODUCT(K326:L326),2)</f>
        <v>-4474.96</v>
      </c>
      <c r="N326" s="145"/>
      <c r="O326" s="24">
        <v>4.6100000000000003</v>
      </c>
      <c r="P326" s="42">
        <f t="shared" si="42"/>
        <v>-64.540000000000006</v>
      </c>
      <c r="Q326" s="68"/>
    </row>
    <row r="327" spans="2:17" s="70" customFormat="1" x14ac:dyDescent="0.15">
      <c r="B327" s="88"/>
      <c r="C327" s="71"/>
      <c r="D327" s="23"/>
      <c r="E327" s="42" t="s">
        <v>19</v>
      </c>
      <c r="F327" s="228"/>
      <c r="G327" s="211"/>
      <c r="H327" s="211"/>
      <c r="I327" s="211"/>
      <c r="J327" s="44"/>
      <c r="K327" s="146"/>
      <c r="L327" s="69"/>
      <c r="M327" s="160"/>
      <c r="N327" s="145"/>
      <c r="O327" s="24"/>
      <c r="P327" s="42">
        <f t="shared" ref="P327:P332" si="44">O327*K327</f>
        <v>0</v>
      </c>
      <c r="Q327" s="68"/>
    </row>
    <row r="328" spans="2:17" s="70" customFormat="1" ht="73.5" x14ac:dyDescent="0.15">
      <c r="B328" s="88">
        <v>41</v>
      </c>
      <c r="C328" s="71"/>
      <c r="D328" s="23" t="s">
        <v>207</v>
      </c>
      <c r="E328" s="125" t="s">
        <v>208</v>
      </c>
      <c r="F328" s="228"/>
      <c r="G328" s="211"/>
      <c r="H328" s="211"/>
      <c r="I328" s="211"/>
      <c r="J328" s="44"/>
      <c r="K328" s="146"/>
      <c r="L328" s="69"/>
      <c r="M328" s="160"/>
      <c r="N328" s="145"/>
      <c r="O328" s="24"/>
      <c r="P328" s="42">
        <f t="shared" si="44"/>
        <v>0</v>
      </c>
      <c r="Q328" s="68"/>
    </row>
    <row r="329" spans="2:17" s="70" customFormat="1" x14ac:dyDescent="0.15">
      <c r="B329" s="88"/>
      <c r="C329" s="71"/>
      <c r="D329" s="23"/>
      <c r="E329" s="23" t="s">
        <v>17</v>
      </c>
      <c r="F329" s="228"/>
      <c r="G329" s="211"/>
      <c r="H329" s="211"/>
      <c r="I329" s="211"/>
      <c r="J329" s="44"/>
      <c r="K329" s="146"/>
      <c r="L329" s="69"/>
      <c r="M329" s="160"/>
      <c r="N329" s="145"/>
      <c r="O329" s="24"/>
      <c r="P329" s="42">
        <f t="shared" si="44"/>
        <v>0</v>
      </c>
      <c r="Q329" s="68"/>
    </row>
    <row r="330" spans="2:17" s="70" customFormat="1" x14ac:dyDescent="0.15">
      <c r="B330" s="88"/>
      <c r="C330" s="71"/>
      <c r="D330" s="23"/>
      <c r="E330" s="23" t="s">
        <v>250</v>
      </c>
      <c r="F330" s="228">
        <v>14</v>
      </c>
      <c r="G330" s="211"/>
      <c r="H330" s="211"/>
      <c r="I330" s="211"/>
      <c r="J330" s="44"/>
      <c r="K330" s="146">
        <f>ROUND(PRODUCT(F330:I330),2)</f>
        <v>14</v>
      </c>
      <c r="L330" s="69"/>
      <c r="M330" s="160"/>
      <c r="N330" s="145"/>
      <c r="O330" s="24"/>
      <c r="P330" s="42">
        <f t="shared" si="44"/>
        <v>0</v>
      </c>
      <c r="Q330" s="68"/>
    </row>
    <row r="331" spans="2:17" s="70" customFormat="1" x14ac:dyDescent="0.15">
      <c r="B331" s="88"/>
      <c r="C331" s="71"/>
      <c r="D331" s="23"/>
      <c r="E331" s="42"/>
      <c r="F331" s="228"/>
      <c r="G331" s="211"/>
      <c r="H331" s="211"/>
      <c r="I331" s="211"/>
      <c r="J331" s="44"/>
      <c r="K331" s="146"/>
      <c r="L331" s="69"/>
      <c r="M331" s="160"/>
      <c r="N331" s="145"/>
      <c r="O331" s="24"/>
      <c r="P331" s="42">
        <f t="shared" si="44"/>
        <v>0</v>
      </c>
      <c r="Q331" s="68"/>
    </row>
    <row r="332" spans="2:17" s="70" customFormat="1" x14ac:dyDescent="0.15">
      <c r="B332" s="88"/>
      <c r="C332" s="71"/>
      <c r="D332" s="23"/>
      <c r="E332" s="42" t="s">
        <v>21</v>
      </c>
      <c r="F332" s="228"/>
      <c r="G332" s="211"/>
      <c r="H332" s="211"/>
      <c r="I332" s="211"/>
      <c r="J332" s="44" t="s">
        <v>123</v>
      </c>
      <c r="K332" s="146">
        <f>ROUND(SUM(K329:K331),2)</f>
        <v>14</v>
      </c>
      <c r="L332" s="69">
        <v>456.91</v>
      </c>
      <c r="M332" s="160">
        <f>ROUND(PRODUCT(K332:L332),2)</f>
        <v>6396.74</v>
      </c>
      <c r="N332" s="145"/>
      <c r="O332" s="24">
        <v>6.59</v>
      </c>
      <c r="P332" s="42">
        <f t="shared" si="44"/>
        <v>92.259999999999991</v>
      </c>
      <c r="Q332" s="68"/>
    </row>
    <row r="333" spans="2:17" s="70" customFormat="1" x14ac:dyDescent="0.15">
      <c r="B333" s="88"/>
      <c r="C333" s="71"/>
      <c r="D333" s="23"/>
      <c r="E333" s="42" t="s">
        <v>19</v>
      </c>
      <c r="F333" s="228"/>
      <c r="G333" s="211"/>
      <c r="H333" s="211"/>
      <c r="I333" s="211"/>
      <c r="J333" s="44"/>
      <c r="K333" s="146"/>
      <c r="L333" s="69"/>
      <c r="M333" s="160"/>
      <c r="N333" s="145"/>
      <c r="O333" s="24"/>
      <c r="P333" s="42">
        <f t="shared" si="42"/>
        <v>0</v>
      </c>
      <c r="Q333" s="68"/>
    </row>
    <row r="334" spans="2:17" s="70" customFormat="1" ht="42" x14ac:dyDescent="0.15">
      <c r="B334" s="88">
        <v>42</v>
      </c>
      <c r="C334" s="71"/>
      <c r="D334" s="23" t="s">
        <v>33</v>
      </c>
      <c r="E334" s="23" t="s">
        <v>253</v>
      </c>
      <c r="F334" s="228"/>
      <c r="G334" s="211"/>
      <c r="H334" s="211"/>
      <c r="I334" s="211"/>
      <c r="J334" s="44"/>
      <c r="K334" s="146"/>
      <c r="L334" s="69"/>
      <c r="M334" s="160"/>
      <c r="N334" s="145"/>
      <c r="O334" s="24"/>
      <c r="P334" s="42">
        <f t="shared" ref="P334:P380" si="45">O334*K334</f>
        <v>0</v>
      </c>
      <c r="Q334" s="68"/>
    </row>
    <row r="335" spans="2:17" s="70" customFormat="1" x14ac:dyDescent="0.15">
      <c r="B335" s="88"/>
      <c r="C335" s="71"/>
      <c r="D335" s="23"/>
      <c r="E335" s="23" t="s">
        <v>17</v>
      </c>
      <c r="F335" s="228"/>
      <c r="G335" s="211"/>
      <c r="H335" s="211"/>
      <c r="I335" s="211"/>
      <c r="J335" s="44"/>
      <c r="K335" s="146"/>
      <c r="L335" s="69"/>
      <c r="M335" s="160"/>
      <c r="N335" s="145"/>
      <c r="O335" s="24"/>
      <c r="P335" s="42">
        <f t="shared" si="45"/>
        <v>0</v>
      </c>
      <c r="Q335" s="68"/>
    </row>
    <row r="336" spans="2:17" s="70" customFormat="1" x14ac:dyDescent="0.15">
      <c r="B336" s="88"/>
      <c r="C336" s="71"/>
      <c r="D336" s="23"/>
      <c r="E336" s="23" t="s">
        <v>209</v>
      </c>
      <c r="F336" s="228">
        <v>-130</v>
      </c>
      <c r="G336" s="211"/>
      <c r="H336" s="211"/>
      <c r="I336" s="211"/>
      <c r="J336" s="44"/>
      <c r="K336" s="146">
        <f>ROUND(PRODUCT(F336:I336),2)</f>
        <v>-130</v>
      </c>
      <c r="L336" s="69"/>
      <c r="M336" s="160"/>
      <c r="N336" s="145"/>
      <c r="O336" s="24"/>
      <c r="P336" s="42">
        <f t="shared" si="45"/>
        <v>0</v>
      </c>
      <c r="Q336" s="68"/>
    </row>
    <row r="337" spans="2:17" s="70" customFormat="1" x14ac:dyDescent="0.15">
      <c r="B337" s="88"/>
      <c r="C337" s="71"/>
      <c r="D337" s="23"/>
      <c r="E337" s="23" t="s">
        <v>210</v>
      </c>
      <c r="F337" s="228">
        <v>150</v>
      </c>
      <c r="G337" s="211"/>
      <c r="H337" s="211"/>
      <c r="I337" s="211"/>
      <c r="J337" s="44"/>
      <c r="K337" s="146">
        <f>ROUND(PRODUCT(F337:I337),2)</f>
        <v>150</v>
      </c>
      <c r="L337" s="69"/>
      <c r="M337" s="160"/>
      <c r="N337" s="145"/>
      <c r="O337" s="24"/>
      <c r="P337" s="42">
        <f t="shared" ref="P337" si="46">O337*K337</f>
        <v>0</v>
      </c>
      <c r="Q337" s="68"/>
    </row>
    <row r="338" spans="2:17" s="70" customFormat="1" x14ac:dyDescent="0.15">
      <c r="B338" s="88"/>
      <c r="C338" s="71"/>
      <c r="D338" s="23"/>
      <c r="E338" s="42"/>
      <c r="F338" s="228"/>
      <c r="G338" s="211"/>
      <c r="H338" s="211"/>
      <c r="I338" s="211"/>
      <c r="J338" s="44"/>
      <c r="K338" s="146"/>
      <c r="L338" s="69"/>
      <c r="M338" s="160"/>
      <c r="N338" s="145"/>
      <c r="O338" s="24"/>
      <c r="P338" s="42">
        <f t="shared" si="45"/>
        <v>0</v>
      </c>
      <c r="Q338" s="68"/>
    </row>
    <row r="339" spans="2:17" s="70" customFormat="1" x14ac:dyDescent="0.15">
      <c r="B339" s="88"/>
      <c r="C339" s="71"/>
      <c r="D339" s="23"/>
      <c r="E339" s="42" t="s">
        <v>20</v>
      </c>
      <c r="F339" s="228"/>
      <c r="G339" s="211"/>
      <c r="H339" s="211"/>
      <c r="I339" s="211"/>
      <c r="J339" s="44" t="s">
        <v>118</v>
      </c>
      <c r="K339" s="146">
        <f>ROUND(SUM(K335:K338),2)</f>
        <v>20</v>
      </c>
      <c r="L339" s="69">
        <v>52.49</v>
      </c>
      <c r="M339" s="160">
        <f>ROUND(PRODUCT(K339:L339),2)</f>
        <v>1049.8</v>
      </c>
      <c r="N339" s="145"/>
      <c r="O339" s="24">
        <v>0.76</v>
      </c>
      <c r="P339" s="42">
        <f t="shared" si="45"/>
        <v>15.2</v>
      </c>
      <c r="Q339" s="68"/>
    </row>
    <row r="340" spans="2:17" s="70" customFormat="1" x14ac:dyDescent="0.15">
      <c r="B340" s="88"/>
      <c r="C340" s="71"/>
      <c r="D340" s="23"/>
      <c r="E340" s="42" t="s">
        <v>19</v>
      </c>
      <c r="F340" s="228"/>
      <c r="G340" s="211"/>
      <c r="H340" s="211"/>
      <c r="I340" s="211"/>
      <c r="J340" s="44"/>
      <c r="K340" s="146"/>
      <c r="L340" s="69"/>
      <c r="M340" s="160"/>
      <c r="N340" s="145"/>
      <c r="O340" s="24"/>
      <c r="P340" s="42">
        <f t="shared" si="45"/>
        <v>0</v>
      </c>
      <c r="Q340" s="68"/>
    </row>
    <row r="341" spans="2:17" s="70" customFormat="1" ht="21" x14ac:dyDescent="0.15">
      <c r="B341" s="88">
        <v>43</v>
      </c>
      <c r="C341" s="71"/>
      <c r="D341" s="23" t="s">
        <v>81</v>
      </c>
      <c r="E341" s="23" t="s">
        <v>82</v>
      </c>
      <c r="F341" s="228"/>
      <c r="G341" s="211"/>
      <c r="H341" s="211"/>
      <c r="I341" s="211"/>
      <c r="J341" s="44"/>
      <c r="K341" s="146"/>
      <c r="L341" s="69"/>
      <c r="M341" s="160"/>
      <c r="N341" s="145"/>
      <c r="O341" s="24"/>
      <c r="P341" s="42">
        <f t="shared" si="45"/>
        <v>0</v>
      </c>
      <c r="Q341" s="68"/>
    </row>
    <row r="342" spans="2:17" s="70" customFormat="1" x14ac:dyDescent="0.15">
      <c r="B342" s="88"/>
      <c r="C342" s="71"/>
      <c r="D342" s="23"/>
      <c r="E342" s="23" t="s">
        <v>17</v>
      </c>
      <c r="F342" s="228"/>
      <c r="G342" s="211"/>
      <c r="H342" s="211"/>
      <c r="I342" s="211"/>
      <c r="J342" s="44"/>
      <c r="K342" s="146"/>
      <c r="L342" s="69"/>
      <c r="M342" s="160"/>
      <c r="N342" s="145"/>
      <c r="O342" s="24"/>
      <c r="P342" s="42">
        <f t="shared" si="45"/>
        <v>0</v>
      </c>
      <c r="Q342" s="68"/>
    </row>
    <row r="343" spans="2:17" s="70" customFormat="1" x14ac:dyDescent="0.15">
      <c r="B343" s="88"/>
      <c r="C343" s="71"/>
      <c r="D343" s="23"/>
      <c r="E343" s="23" t="s">
        <v>209</v>
      </c>
      <c r="F343" s="228">
        <v>-130</v>
      </c>
      <c r="G343" s="211"/>
      <c r="H343" s="211"/>
      <c r="I343" s="211"/>
      <c r="J343" s="44"/>
      <c r="K343" s="146">
        <f>ROUND(PRODUCT(F343:I343),2)</f>
        <v>-130</v>
      </c>
      <c r="L343" s="69"/>
      <c r="M343" s="160"/>
      <c r="N343" s="145"/>
      <c r="O343" s="24"/>
      <c r="P343" s="42">
        <f t="shared" si="45"/>
        <v>0</v>
      </c>
      <c r="Q343" s="68"/>
    </row>
    <row r="344" spans="2:17" s="70" customFormat="1" x14ac:dyDescent="0.15">
      <c r="B344" s="88"/>
      <c r="C344" s="71"/>
      <c r="D344" s="23"/>
      <c r="E344" s="23" t="s">
        <v>210</v>
      </c>
      <c r="F344" s="228">
        <v>150</v>
      </c>
      <c r="G344" s="211"/>
      <c r="H344" s="211"/>
      <c r="I344" s="211"/>
      <c r="J344" s="44"/>
      <c r="K344" s="146">
        <v>150</v>
      </c>
      <c r="L344" s="69"/>
      <c r="M344" s="160"/>
      <c r="N344" s="145"/>
      <c r="O344" s="24"/>
      <c r="P344" s="42">
        <f t="shared" ref="P344" si="47">O344*K344</f>
        <v>0</v>
      </c>
      <c r="Q344" s="68"/>
    </row>
    <row r="345" spans="2:17" s="70" customFormat="1" x14ac:dyDescent="0.15">
      <c r="B345" s="88"/>
      <c r="C345" s="71"/>
      <c r="D345" s="23"/>
      <c r="E345" s="42"/>
      <c r="F345" s="228"/>
      <c r="G345" s="211"/>
      <c r="H345" s="211"/>
      <c r="I345" s="211"/>
      <c r="J345" s="44"/>
      <c r="K345" s="146"/>
      <c r="L345" s="69"/>
      <c r="M345" s="160"/>
      <c r="N345" s="145"/>
      <c r="O345" s="24"/>
      <c r="P345" s="42"/>
      <c r="Q345" s="68"/>
    </row>
    <row r="346" spans="2:17" s="70" customFormat="1" x14ac:dyDescent="0.15">
      <c r="B346" s="88"/>
      <c r="C346" s="71"/>
      <c r="D346" s="23"/>
      <c r="E346" s="42" t="s">
        <v>20</v>
      </c>
      <c r="F346" s="228"/>
      <c r="G346" s="211"/>
      <c r="H346" s="211"/>
      <c r="I346" s="211"/>
      <c r="J346" s="44" t="s">
        <v>118</v>
      </c>
      <c r="K346" s="146">
        <f>ROUND(SUM(K343:K344),2)</f>
        <v>20</v>
      </c>
      <c r="L346" s="69">
        <v>9.17</v>
      </c>
      <c r="M346" s="160">
        <f>ROUND(PRODUCT(K346:L346),2)</f>
        <v>183.4</v>
      </c>
      <c r="N346" s="145"/>
      <c r="O346" s="24" t="s">
        <v>90</v>
      </c>
      <c r="P346" s="42">
        <f t="shared" si="45"/>
        <v>2.6</v>
      </c>
      <c r="Q346" s="68"/>
    </row>
    <row r="347" spans="2:17" s="70" customFormat="1" x14ac:dyDescent="0.15">
      <c r="B347" s="88"/>
      <c r="C347" s="71"/>
      <c r="D347" s="23"/>
      <c r="E347" s="42" t="s">
        <v>19</v>
      </c>
      <c r="F347" s="228"/>
      <c r="G347" s="211"/>
      <c r="H347" s="211"/>
      <c r="I347" s="211"/>
      <c r="J347" s="44"/>
      <c r="K347" s="146"/>
      <c r="L347" s="69"/>
      <c r="M347" s="160"/>
      <c r="N347" s="145"/>
      <c r="O347" s="24"/>
      <c r="P347" s="42">
        <f t="shared" si="45"/>
        <v>0</v>
      </c>
      <c r="Q347" s="68"/>
    </row>
    <row r="348" spans="2:17" s="70" customFormat="1" ht="82.9" customHeight="1" x14ac:dyDescent="0.15">
      <c r="B348" s="88">
        <v>44</v>
      </c>
      <c r="C348" s="71"/>
      <c r="D348" s="23" t="s">
        <v>136</v>
      </c>
      <c r="E348" s="23" t="s">
        <v>252</v>
      </c>
      <c r="F348" s="228"/>
      <c r="G348" s="211"/>
      <c r="H348" s="211"/>
      <c r="I348" s="211"/>
      <c r="J348" s="44"/>
      <c r="K348" s="146"/>
      <c r="L348" s="69"/>
      <c r="M348" s="160"/>
      <c r="N348" s="145"/>
      <c r="O348" s="24"/>
      <c r="P348" s="42">
        <f t="shared" si="45"/>
        <v>0</v>
      </c>
      <c r="Q348" s="68"/>
    </row>
    <row r="349" spans="2:17" s="70" customFormat="1" x14ac:dyDescent="0.15">
      <c r="B349" s="88"/>
      <c r="C349" s="71"/>
      <c r="D349" s="23"/>
      <c r="E349" s="23" t="s">
        <v>17</v>
      </c>
      <c r="F349" s="228"/>
      <c r="G349" s="211"/>
      <c r="H349" s="211"/>
      <c r="I349" s="211"/>
      <c r="J349" s="44"/>
      <c r="K349" s="146"/>
      <c r="L349" s="69"/>
      <c r="M349" s="160"/>
      <c r="N349" s="145"/>
      <c r="O349" s="24"/>
      <c r="P349" s="42">
        <f t="shared" si="45"/>
        <v>0</v>
      </c>
      <c r="Q349" s="68"/>
    </row>
    <row r="350" spans="2:17" s="70" customFormat="1" x14ac:dyDescent="0.15">
      <c r="B350" s="88"/>
      <c r="C350" s="71"/>
      <c r="D350" s="23"/>
      <c r="E350" s="23" t="s">
        <v>211</v>
      </c>
      <c r="F350" s="228">
        <f>-(131-20)</f>
        <v>-111</v>
      </c>
      <c r="G350" s="211"/>
      <c r="H350" s="211"/>
      <c r="I350" s="211"/>
      <c r="J350" s="44"/>
      <c r="K350" s="146">
        <f>ROUND(PRODUCT(F350:I350),2)</f>
        <v>-111</v>
      </c>
      <c r="L350" s="69"/>
      <c r="M350" s="160"/>
      <c r="N350" s="145"/>
      <c r="O350" s="24"/>
      <c r="P350" s="42">
        <f t="shared" si="45"/>
        <v>0</v>
      </c>
      <c r="Q350" s="68"/>
    </row>
    <row r="351" spans="2:17" s="70" customFormat="1" x14ac:dyDescent="0.15">
      <c r="B351" s="88"/>
      <c r="C351" s="71"/>
      <c r="D351" s="23"/>
      <c r="E351" s="42"/>
      <c r="F351" s="228"/>
      <c r="G351" s="211"/>
      <c r="H351" s="211"/>
      <c r="I351" s="211"/>
      <c r="J351" s="44"/>
      <c r="K351" s="146"/>
      <c r="L351" s="69"/>
      <c r="M351" s="160"/>
      <c r="N351" s="145"/>
      <c r="O351" s="24"/>
      <c r="P351" s="42">
        <f t="shared" si="45"/>
        <v>0</v>
      </c>
      <c r="Q351" s="68"/>
    </row>
    <row r="352" spans="2:17" s="70" customFormat="1" x14ac:dyDescent="0.15">
      <c r="B352" s="88"/>
      <c r="C352" s="71"/>
      <c r="D352" s="23"/>
      <c r="E352" s="42" t="s">
        <v>21</v>
      </c>
      <c r="F352" s="228"/>
      <c r="G352" s="211"/>
      <c r="H352" s="211"/>
      <c r="I352" s="211"/>
      <c r="J352" s="44" t="s">
        <v>123</v>
      </c>
      <c r="K352" s="146">
        <f>ROUND(SUM(K349:K351),2)</f>
        <v>-111</v>
      </c>
      <c r="L352" s="69">
        <v>164.42</v>
      </c>
      <c r="M352" s="160">
        <f>ROUND(PRODUCT(K352:L352),2)</f>
        <v>-18250.62</v>
      </c>
      <c r="N352" s="145"/>
      <c r="O352" s="24">
        <v>2.37</v>
      </c>
      <c r="P352" s="42">
        <f t="shared" si="45"/>
        <v>-263.07</v>
      </c>
      <c r="Q352" s="68"/>
    </row>
    <row r="353" spans="2:17" s="70" customFormat="1" x14ac:dyDescent="0.15">
      <c r="B353" s="88"/>
      <c r="C353" s="71"/>
      <c r="D353" s="23"/>
      <c r="E353" s="42" t="s">
        <v>19</v>
      </c>
      <c r="F353" s="228"/>
      <c r="G353" s="211"/>
      <c r="H353" s="211"/>
      <c r="I353" s="211"/>
      <c r="J353" s="44"/>
      <c r="K353" s="146"/>
      <c r="L353" s="69"/>
      <c r="M353" s="160"/>
      <c r="N353" s="145"/>
      <c r="O353" s="24"/>
      <c r="P353" s="42">
        <f t="shared" ref="P353:P358" si="48">O353*K353</f>
        <v>0</v>
      </c>
      <c r="Q353" s="68"/>
    </row>
    <row r="354" spans="2:17" s="70" customFormat="1" ht="63" x14ac:dyDescent="0.15">
      <c r="B354" s="88">
        <v>45</v>
      </c>
      <c r="C354" s="71"/>
      <c r="D354" s="23" t="s">
        <v>212</v>
      </c>
      <c r="E354" s="23" t="s">
        <v>213</v>
      </c>
      <c r="F354" s="228"/>
      <c r="G354" s="211"/>
      <c r="H354" s="211"/>
      <c r="I354" s="211"/>
      <c r="J354" s="44"/>
      <c r="K354" s="146"/>
      <c r="L354" s="69"/>
      <c r="M354" s="160"/>
      <c r="N354" s="145"/>
      <c r="O354" s="24"/>
      <c r="P354" s="42">
        <f t="shared" si="48"/>
        <v>0</v>
      </c>
      <c r="Q354" s="68"/>
    </row>
    <row r="355" spans="2:17" s="70" customFormat="1" x14ac:dyDescent="0.15">
      <c r="B355" s="88"/>
      <c r="C355" s="71"/>
      <c r="D355" s="23"/>
      <c r="E355" s="23" t="s">
        <v>17</v>
      </c>
      <c r="F355" s="228"/>
      <c r="G355" s="211"/>
      <c r="H355" s="211"/>
      <c r="I355" s="211"/>
      <c r="J355" s="44"/>
      <c r="K355" s="146"/>
      <c r="L355" s="69"/>
      <c r="M355" s="160"/>
      <c r="N355" s="145"/>
      <c r="O355" s="24"/>
      <c r="P355" s="42">
        <f t="shared" si="48"/>
        <v>0</v>
      </c>
      <c r="Q355" s="68"/>
    </row>
    <row r="356" spans="2:17" s="70" customFormat="1" x14ac:dyDescent="0.15">
      <c r="B356" s="88"/>
      <c r="C356" s="71"/>
      <c r="D356" s="23"/>
      <c r="E356" s="23" t="s">
        <v>211</v>
      </c>
      <c r="F356" s="228">
        <v>18</v>
      </c>
      <c r="G356" s="211"/>
      <c r="H356" s="211"/>
      <c r="I356" s="211"/>
      <c r="J356" s="44"/>
      <c r="K356" s="146">
        <f>ROUND(PRODUCT(F356:I356),2)</f>
        <v>18</v>
      </c>
      <c r="L356" s="69"/>
      <c r="M356" s="160"/>
      <c r="N356" s="145"/>
      <c r="O356" s="24"/>
      <c r="P356" s="42">
        <f t="shared" si="48"/>
        <v>0</v>
      </c>
      <c r="Q356" s="68"/>
    </row>
    <row r="357" spans="2:17" s="70" customFormat="1" x14ac:dyDescent="0.15">
      <c r="B357" s="88"/>
      <c r="C357" s="71"/>
      <c r="D357" s="23"/>
      <c r="E357" s="42"/>
      <c r="F357" s="228"/>
      <c r="G357" s="211"/>
      <c r="H357" s="211"/>
      <c r="I357" s="211"/>
      <c r="J357" s="44"/>
      <c r="K357" s="146"/>
      <c r="L357" s="69"/>
      <c r="M357" s="160"/>
      <c r="N357" s="145"/>
      <c r="O357" s="24"/>
      <c r="P357" s="42">
        <f t="shared" si="48"/>
        <v>0</v>
      </c>
      <c r="Q357" s="68"/>
    </row>
    <row r="358" spans="2:17" s="70" customFormat="1" x14ac:dyDescent="0.15">
      <c r="B358" s="88"/>
      <c r="C358" s="71"/>
      <c r="D358" s="23"/>
      <c r="E358" s="42" t="s">
        <v>21</v>
      </c>
      <c r="F358" s="228"/>
      <c r="G358" s="211"/>
      <c r="H358" s="211"/>
      <c r="I358" s="211"/>
      <c r="J358" s="44" t="s">
        <v>123</v>
      </c>
      <c r="K358" s="146">
        <f>ROUND(SUM(K355:K357),2)</f>
        <v>18</v>
      </c>
      <c r="L358" s="69">
        <v>109.68</v>
      </c>
      <c r="M358" s="160">
        <f>ROUND(PRODUCT(K358:L358),2)</f>
        <v>1974.24</v>
      </c>
      <c r="N358" s="145"/>
      <c r="O358" s="24">
        <v>1.58</v>
      </c>
      <c r="P358" s="42">
        <f t="shared" si="48"/>
        <v>28.44</v>
      </c>
      <c r="Q358" s="68"/>
    </row>
    <row r="359" spans="2:17" s="70" customFormat="1" x14ac:dyDescent="0.15">
      <c r="B359" s="88"/>
      <c r="C359" s="71"/>
      <c r="D359" s="23"/>
      <c r="E359" s="42"/>
      <c r="F359" s="228"/>
      <c r="G359" s="211"/>
      <c r="H359" s="211"/>
      <c r="I359" s="211"/>
      <c r="J359" s="44"/>
      <c r="K359" s="146"/>
      <c r="L359" s="69"/>
      <c r="M359" s="160"/>
      <c r="N359" s="145"/>
      <c r="O359" s="24"/>
      <c r="P359" s="42"/>
      <c r="Q359" s="68"/>
    </row>
    <row r="360" spans="2:17" s="70" customFormat="1" ht="63" x14ac:dyDescent="0.15">
      <c r="B360" s="88">
        <v>46</v>
      </c>
      <c r="C360" s="71"/>
      <c r="D360" s="23" t="s">
        <v>137</v>
      </c>
      <c r="E360" s="23" t="s">
        <v>251</v>
      </c>
      <c r="F360" s="228"/>
      <c r="G360" s="211"/>
      <c r="H360" s="211"/>
      <c r="I360" s="211"/>
      <c r="J360" s="44"/>
      <c r="K360" s="146"/>
      <c r="L360" s="69"/>
      <c r="M360" s="160"/>
      <c r="N360" s="145"/>
      <c r="O360" s="24"/>
      <c r="P360" s="42"/>
      <c r="Q360" s="68"/>
    </row>
    <row r="361" spans="2:17" s="70" customFormat="1" x14ac:dyDescent="0.15">
      <c r="B361" s="88"/>
      <c r="C361" s="71"/>
      <c r="D361" s="23"/>
      <c r="E361" s="23" t="s">
        <v>17</v>
      </c>
      <c r="F361" s="228"/>
      <c r="G361" s="211"/>
      <c r="H361" s="211"/>
      <c r="I361" s="211"/>
      <c r="J361" s="44"/>
      <c r="K361" s="146"/>
      <c r="L361" s="69"/>
      <c r="M361" s="160"/>
      <c r="N361" s="145"/>
      <c r="O361" s="24"/>
      <c r="P361" s="42">
        <f>O361*K361</f>
        <v>0</v>
      </c>
      <c r="Q361" s="68"/>
    </row>
    <row r="362" spans="2:17" s="70" customFormat="1" x14ac:dyDescent="0.15">
      <c r="B362" s="88"/>
      <c r="C362" s="71"/>
      <c r="D362" s="23"/>
      <c r="E362" s="23" t="s">
        <v>214</v>
      </c>
      <c r="F362" s="228">
        <v>-2</v>
      </c>
      <c r="G362" s="211"/>
      <c r="H362" s="211"/>
      <c r="I362" s="211"/>
      <c r="J362" s="44"/>
      <c r="K362" s="146">
        <f>ROUND(PRODUCT(F362:I362),2)</f>
        <v>-2</v>
      </c>
      <c r="L362" s="69"/>
      <c r="M362" s="160"/>
      <c r="N362" s="145"/>
      <c r="O362" s="24"/>
      <c r="P362" s="42">
        <f>O362*K362</f>
        <v>0</v>
      </c>
      <c r="Q362" s="68"/>
    </row>
    <row r="363" spans="2:17" s="70" customFormat="1" x14ac:dyDescent="0.15">
      <c r="B363" s="88"/>
      <c r="C363" s="71"/>
      <c r="D363" s="23"/>
      <c r="E363" s="23" t="s">
        <v>215</v>
      </c>
      <c r="F363" s="228">
        <v>133</v>
      </c>
      <c r="G363" s="211"/>
      <c r="H363" s="211"/>
      <c r="I363" s="211"/>
      <c r="J363" s="44"/>
      <c r="K363" s="146">
        <f>ROUND(PRODUCT(F363:I363),2)</f>
        <v>133</v>
      </c>
      <c r="L363" s="69"/>
      <c r="M363" s="160"/>
      <c r="N363" s="145"/>
      <c r="O363" s="24"/>
      <c r="P363" s="42">
        <f>O363*K363</f>
        <v>0</v>
      </c>
      <c r="Q363" s="68"/>
    </row>
    <row r="364" spans="2:17" s="70" customFormat="1" x14ac:dyDescent="0.15">
      <c r="B364" s="88"/>
      <c r="C364" s="71"/>
      <c r="D364" s="23"/>
      <c r="E364" s="42"/>
      <c r="F364" s="228"/>
      <c r="G364" s="211"/>
      <c r="H364" s="211"/>
      <c r="I364" s="211"/>
      <c r="J364" s="44"/>
      <c r="K364" s="146"/>
      <c r="L364" s="69"/>
      <c r="M364" s="160"/>
      <c r="N364" s="145"/>
      <c r="O364" s="24"/>
      <c r="P364" s="42">
        <f>O364*K364</f>
        <v>0</v>
      </c>
      <c r="Q364" s="68"/>
    </row>
    <row r="365" spans="2:17" s="70" customFormat="1" x14ac:dyDescent="0.15">
      <c r="B365" s="88"/>
      <c r="C365" s="71"/>
      <c r="D365" s="23"/>
      <c r="E365" s="42" t="s">
        <v>21</v>
      </c>
      <c r="F365" s="228"/>
      <c r="G365" s="211"/>
      <c r="H365" s="211"/>
      <c r="I365" s="211"/>
      <c r="J365" s="44" t="s">
        <v>123</v>
      </c>
      <c r="K365" s="146">
        <f>ROUND(SUM(K361:K364),2)</f>
        <v>131</v>
      </c>
      <c r="L365" s="69">
        <v>96.63</v>
      </c>
      <c r="M365" s="160">
        <f>ROUND(PRODUCT(K365:L365),2)</f>
        <v>12658.53</v>
      </c>
      <c r="N365" s="145"/>
      <c r="O365" s="24">
        <v>1.39</v>
      </c>
      <c r="P365" s="42">
        <f>O365*K365</f>
        <v>182.08999999999997</v>
      </c>
      <c r="Q365" s="68"/>
    </row>
    <row r="366" spans="2:17" s="70" customFormat="1" x14ac:dyDescent="0.15">
      <c r="B366" s="88"/>
      <c r="C366" s="71"/>
      <c r="D366" s="23"/>
      <c r="E366" s="42"/>
      <c r="F366" s="228"/>
      <c r="G366" s="211"/>
      <c r="H366" s="211"/>
      <c r="I366" s="211"/>
      <c r="J366" s="44"/>
      <c r="K366" s="146"/>
      <c r="L366" s="69"/>
      <c r="M366" s="160"/>
      <c r="N366" s="145"/>
      <c r="O366" s="24"/>
      <c r="P366" s="42"/>
      <c r="Q366" s="68"/>
    </row>
    <row r="367" spans="2:17" s="70" customFormat="1" ht="31.5" x14ac:dyDescent="0.15">
      <c r="B367" s="88">
        <v>47</v>
      </c>
      <c r="C367" s="71"/>
      <c r="D367" s="23" t="s">
        <v>39</v>
      </c>
      <c r="E367" s="23" t="s">
        <v>40</v>
      </c>
      <c r="F367" s="228"/>
      <c r="G367" s="211"/>
      <c r="H367" s="211"/>
      <c r="I367" s="211"/>
      <c r="J367" s="44"/>
      <c r="K367" s="146"/>
      <c r="L367" s="69"/>
      <c r="M367" s="160"/>
      <c r="N367" s="145"/>
      <c r="O367" s="24"/>
      <c r="P367" s="42">
        <f t="shared" si="45"/>
        <v>0</v>
      </c>
      <c r="Q367" s="68"/>
    </row>
    <row r="368" spans="2:17" s="70" customFormat="1" x14ac:dyDescent="0.15">
      <c r="B368" s="88"/>
      <c r="C368" s="71"/>
      <c r="D368" s="23"/>
      <c r="E368" s="23" t="s">
        <v>17</v>
      </c>
      <c r="F368" s="228"/>
      <c r="G368" s="211"/>
      <c r="H368" s="211"/>
      <c r="I368" s="211"/>
      <c r="J368" s="44"/>
      <c r="K368" s="146"/>
      <c r="L368" s="69"/>
      <c r="M368" s="160"/>
      <c r="N368" s="145"/>
      <c r="O368" s="24"/>
      <c r="P368" s="42">
        <f t="shared" si="45"/>
        <v>0</v>
      </c>
      <c r="Q368" s="68"/>
    </row>
    <row r="369" spans="2:17" s="70" customFormat="1" x14ac:dyDescent="0.15">
      <c r="B369" s="88"/>
      <c r="C369" s="71"/>
      <c r="D369" s="23"/>
      <c r="E369" s="23" t="s">
        <v>216</v>
      </c>
      <c r="F369" s="228">
        <v>-2</v>
      </c>
      <c r="G369" s="211"/>
      <c r="H369" s="211"/>
      <c r="I369" s="211"/>
      <c r="J369" s="44"/>
      <c r="K369" s="146">
        <f>ROUND(PRODUCT(F369:I369),2)</f>
        <v>-2</v>
      </c>
      <c r="L369" s="69"/>
      <c r="M369" s="160"/>
      <c r="N369" s="145"/>
      <c r="O369" s="24"/>
      <c r="P369" s="42">
        <f t="shared" si="45"/>
        <v>0</v>
      </c>
      <c r="Q369" s="68"/>
    </row>
    <row r="370" spans="2:17" s="70" customFormat="1" x14ac:dyDescent="0.15">
      <c r="B370" s="88"/>
      <c r="C370" s="71"/>
      <c r="D370" s="23"/>
      <c r="E370" s="23" t="s">
        <v>217</v>
      </c>
      <c r="F370" s="228">
        <v>20</v>
      </c>
      <c r="G370" s="211"/>
      <c r="H370" s="211"/>
      <c r="I370" s="211"/>
      <c r="J370" s="44"/>
      <c r="K370" s="146">
        <f>ROUND(PRODUCT(F370:I370),2)</f>
        <v>20</v>
      </c>
      <c r="L370" s="69"/>
      <c r="M370" s="160"/>
      <c r="N370" s="145"/>
      <c r="O370" s="24"/>
      <c r="P370" s="42">
        <f t="shared" ref="P370" si="49">O370*K370</f>
        <v>0</v>
      </c>
      <c r="Q370" s="68"/>
    </row>
    <row r="371" spans="2:17" s="70" customFormat="1" x14ac:dyDescent="0.15">
      <c r="B371" s="88"/>
      <c r="C371" s="71"/>
      <c r="D371" s="23"/>
      <c r="E371" s="42"/>
      <c r="F371" s="228"/>
      <c r="G371" s="211"/>
      <c r="H371" s="211"/>
      <c r="I371" s="211"/>
      <c r="J371" s="44"/>
      <c r="K371" s="146"/>
      <c r="L371" s="69"/>
      <c r="M371" s="160"/>
      <c r="N371" s="145"/>
      <c r="O371" s="24"/>
      <c r="P371" s="42">
        <f t="shared" si="45"/>
        <v>0</v>
      </c>
      <c r="Q371" s="68"/>
    </row>
    <row r="372" spans="2:17" s="70" customFormat="1" x14ac:dyDescent="0.15">
      <c r="B372" s="88"/>
      <c r="C372" s="71"/>
      <c r="D372" s="23"/>
      <c r="E372" s="42" t="s">
        <v>21</v>
      </c>
      <c r="F372" s="228"/>
      <c r="G372" s="211"/>
      <c r="H372" s="211"/>
      <c r="I372" s="211"/>
      <c r="J372" s="44" t="s">
        <v>123</v>
      </c>
      <c r="K372" s="146">
        <f>ROUND(SUM(K368:K371),2)</f>
        <v>18</v>
      </c>
      <c r="L372" s="69">
        <v>66.98</v>
      </c>
      <c r="M372" s="160">
        <f>ROUND(PRODUCT(K372:L372),2)</f>
        <v>1205.6400000000001</v>
      </c>
      <c r="N372" s="145"/>
      <c r="O372" s="24">
        <v>0.97</v>
      </c>
      <c r="P372" s="42">
        <f t="shared" si="45"/>
        <v>17.46</v>
      </c>
      <c r="Q372" s="68"/>
    </row>
    <row r="373" spans="2:17" s="70" customFormat="1" x14ac:dyDescent="0.15">
      <c r="B373" s="88"/>
      <c r="C373" s="71"/>
      <c r="D373" s="23"/>
      <c r="E373" s="42" t="s">
        <v>19</v>
      </c>
      <c r="F373" s="228"/>
      <c r="G373" s="211"/>
      <c r="H373" s="211"/>
      <c r="I373" s="211"/>
      <c r="J373" s="44"/>
      <c r="K373" s="146"/>
      <c r="L373" s="69"/>
      <c r="M373" s="160"/>
      <c r="N373" s="145"/>
      <c r="O373" s="24"/>
      <c r="P373" s="42">
        <f t="shared" si="45"/>
        <v>0</v>
      </c>
      <c r="Q373" s="68"/>
    </row>
    <row r="374" spans="2:17" s="70" customFormat="1" ht="31.5" x14ac:dyDescent="0.15">
      <c r="B374" s="88">
        <v>48</v>
      </c>
      <c r="C374" s="71"/>
      <c r="D374" s="23" t="s">
        <v>37</v>
      </c>
      <c r="E374" s="23" t="s">
        <v>38</v>
      </c>
      <c r="F374" s="228"/>
      <c r="G374" s="211"/>
      <c r="H374" s="211"/>
      <c r="I374" s="211"/>
      <c r="J374" s="44"/>
      <c r="K374" s="146"/>
      <c r="L374" s="69"/>
      <c r="M374" s="160"/>
      <c r="N374" s="145"/>
      <c r="O374" s="24"/>
      <c r="P374" s="42">
        <f t="shared" si="45"/>
        <v>0</v>
      </c>
      <c r="Q374" s="68"/>
    </row>
    <row r="375" spans="2:17" s="70" customFormat="1" x14ac:dyDescent="0.15">
      <c r="B375" s="88"/>
      <c r="C375" s="71"/>
      <c r="D375" s="23"/>
      <c r="E375" s="23" t="s">
        <v>17</v>
      </c>
      <c r="F375" s="228"/>
      <c r="G375" s="211"/>
      <c r="H375" s="211"/>
      <c r="I375" s="211"/>
      <c r="J375" s="44"/>
      <c r="K375" s="146"/>
      <c r="L375" s="69"/>
      <c r="M375" s="160"/>
      <c r="N375" s="145"/>
      <c r="O375" s="24"/>
      <c r="P375" s="42">
        <f t="shared" si="45"/>
        <v>0</v>
      </c>
      <c r="Q375" s="68"/>
    </row>
    <row r="376" spans="2:17" s="70" customFormat="1" x14ac:dyDescent="0.15">
      <c r="B376" s="88"/>
      <c r="C376" s="71"/>
      <c r="D376" s="23"/>
      <c r="E376" s="23" t="s">
        <v>216</v>
      </c>
      <c r="F376" s="228">
        <v>-17</v>
      </c>
      <c r="G376" s="211"/>
      <c r="H376" s="211"/>
      <c r="I376" s="211"/>
      <c r="J376" s="44"/>
      <c r="K376" s="146">
        <f>ROUND(PRODUCT(F376:I376),2)</f>
        <v>-17</v>
      </c>
      <c r="L376" s="69"/>
      <c r="M376" s="160"/>
      <c r="N376" s="145"/>
      <c r="O376" s="24"/>
      <c r="P376" s="42">
        <f t="shared" si="45"/>
        <v>0</v>
      </c>
      <c r="Q376" s="68"/>
    </row>
    <row r="377" spans="2:17" s="70" customFormat="1" x14ac:dyDescent="0.15">
      <c r="B377" s="88"/>
      <c r="C377" s="71"/>
      <c r="D377" s="23"/>
      <c r="E377" s="23" t="s">
        <v>217</v>
      </c>
      <c r="F377" s="228">
        <v>133</v>
      </c>
      <c r="G377" s="211"/>
      <c r="H377" s="211"/>
      <c r="I377" s="211"/>
      <c r="J377" s="44"/>
      <c r="K377" s="146">
        <f>ROUND(PRODUCT(F377:I377),2)</f>
        <v>133</v>
      </c>
      <c r="L377" s="69"/>
      <c r="M377" s="160"/>
      <c r="N377" s="145"/>
      <c r="O377" s="24"/>
      <c r="P377" s="42">
        <f t="shared" ref="P377" si="50">O377*K377</f>
        <v>0</v>
      </c>
      <c r="Q377" s="68"/>
    </row>
    <row r="378" spans="2:17" s="70" customFormat="1" x14ac:dyDescent="0.15">
      <c r="B378" s="88"/>
      <c r="C378" s="71"/>
      <c r="D378" s="23"/>
      <c r="E378" s="42"/>
      <c r="F378" s="228"/>
      <c r="G378" s="211"/>
      <c r="H378" s="211"/>
      <c r="I378" s="211"/>
      <c r="J378" s="44"/>
      <c r="K378" s="146"/>
      <c r="L378" s="69"/>
      <c r="M378" s="160"/>
      <c r="N378" s="145"/>
      <c r="O378" s="24"/>
      <c r="P378" s="42">
        <f t="shared" si="45"/>
        <v>0</v>
      </c>
      <c r="Q378" s="68"/>
    </row>
    <row r="379" spans="2:17" s="70" customFormat="1" x14ac:dyDescent="0.15">
      <c r="B379" s="88"/>
      <c r="C379" s="71"/>
      <c r="D379" s="23"/>
      <c r="E379" s="42" t="s">
        <v>21</v>
      </c>
      <c r="F379" s="228"/>
      <c r="G379" s="211"/>
      <c r="H379" s="211"/>
      <c r="I379" s="211"/>
      <c r="J379" s="44" t="s">
        <v>123</v>
      </c>
      <c r="K379" s="146">
        <f>ROUND(SUM(K375:K378),2)</f>
        <v>116</v>
      </c>
      <c r="L379" s="69">
        <v>53.44</v>
      </c>
      <c r="M379" s="160">
        <f>ROUND(PRODUCT(K379:L379),2)</f>
        <v>6199.04</v>
      </c>
      <c r="N379" s="145"/>
      <c r="O379" s="24">
        <v>0.77</v>
      </c>
      <c r="P379" s="42">
        <f t="shared" si="45"/>
        <v>89.320000000000007</v>
      </c>
      <c r="Q379" s="68"/>
    </row>
    <row r="380" spans="2:17" s="70" customFormat="1" x14ac:dyDescent="0.15">
      <c r="B380" s="88"/>
      <c r="C380" s="71"/>
      <c r="D380" s="23"/>
      <c r="E380" s="42" t="s">
        <v>19</v>
      </c>
      <c r="F380" s="228"/>
      <c r="G380" s="211"/>
      <c r="H380" s="211"/>
      <c r="I380" s="211"/>
      <c r="J380" s="44"/>
      <c r="K380" s="146"/>
      <c r="L380" s="69"/>
      <c r="M380" s="160"/>
      <c r="N380" s="145"/>
      <c r="O380" s="24"/>
      <c r="P380" s="42">
        <f t="shared" si="45"/>
        <v>0</v>
      </c>
      <c r="Q380" s="68"/>
    </row>
    <row r="381" spans="2:17" s="70" customFormat="1" x14ac:dyDescent="0.15">
      <c r="B381" s="88"/>
      <c r="C381" s="71"/>
      <c r="D381" s="23"/>
      <c r="E381" s="42" t="s">
        <v>19</v>
      </c>
      <c r="F381" s="228"/>
      <c r="G381" s="211"/>
      <c r="H381" s="211"/>
      <c r="I381" s="211"/>
      <c r="J381" s="44"/>
      <c r="K381" s="146"/>
      <c r="L381" s="69"/>
      <c r="M381" s="160"/>
      <c r="N381" s="145"/>
      <c r="O381" s="24"/>
      <c r="P381" s="42">
        <f t="shared" ref="P381:P437" si="51">O381*K381</f>
        <v>0</v>
      </c>
      <c r="Q381" s="68"/>
    </row>
    <row r="382" spans="2:17" s="70" customFormat="1" ht="12.75" x14ac:dyDescent="0.15">
      <c r="B382" s="88"/>
      <c r="C382" s="105"/>
      <c r="D382" s="106"/>
      <c r="E382" s="38" t="str">
        <f>CONCATENATE("Totale fase ",E265)</f>
        <v>Totale fase Impianto elettrico</v>
      </c>
      <c r="F382" s="231"/>
      <c r="G382" s="210"/>
      <c r="H382" s="210"/>
      <c r="I382" s="210"/>
      <c r="J382" s="107"/>
      <c r="K382" s="147"/>
      <c r="L382" s="108"/>
      <c r="M382" s="162"/>
      <c r="N382" s="175">
        <f>SUM(M292:M380)</f>
        <v>24282.290000000005</v>
      </c>
      <c r="O382" s="109"/>
      <c r="P382" s="110"/>
      <c r="Q382" s="124">
        <f>SUM(P292:P380)</f>
        <v>310.21999999999997</v>
      </c>
    </row>
    <row r="383" spans="2:17" s="70" customFormat="1" x14ac:dyDescent="0.15">
      <c r="B383" s="88"/>
      <c r="C383" s="105"/>
      <c r="D383" s="106"/>
      <c r="E383" s="120"/>
      <c r="F383" s="231"/>
      <c r="G383" s="210"/>
      <c r="H383" s="210"/>
      <c r="I383" s="210"/>
      <c r="J383" s="112"/>
      <c r="K383" s="147"/>
      <c r="L383" s="108"/>
      <c r="M383" s="163"/>
      <c r="N383" s="176"/>
      <c r="O383" s="113"/>
      <c r="P383" s="121"/>
      <c r="Q383" s="116"/>
    </row>
    <row r="384" spans="2:17" s="70" customFormat="1" ht="12.75" x14ac:dyDescent="0.15">
      <c r="B384" s="88"/>
      <c r="C384" s="37" t="s">
        <v>108</v>
      </c>
      <c r="D384" s="106"/>
      <c r="E384" s="38" t="s">
        <v>109</v>
      </c>
      <c r="F384" s="231"/>
      <c r="G384" s="210"/>
      <c r="H384" s="210"/>
      <c r="I384" s="210"/>
      <c r="J384" s="107"/>
      <c r="K384" s="147"/>
      <c r="L384" s="108"/>
      <c r="M384" s="162"/>
      <c r="N384" s="176"/>
      <c r="O384" s="113"/>
      <c r="P384" s="113">
        <f>J384*N384</f>
        <v>0</v>
      </c>
      <c r="Q384" s="116"/>
    </row>
    <row r="385" spans="2:17" s="70" customFormat="1" ht="12.75" x14ac:dyDescent="0.15">
      <c r="B385" s="88"/>
      <c r="C385" s="74"/>
      <c r="D385" s="102"/>
      <c r="E385" s="75"/>
      <c r="F385" s="230"/>
      <c r="G385" s="213"/>
      <c r="H385" s="213"/>
      <c r="I385" s="213"/>
      <c r="J385" s="96"/>
      <c r="K385" s="146"/>
      <c r="L385" s="69"/>
      <c r="M385" s="165"/>
      <c r="N385" s="145"/>
      <c r="O385" s="24"/>
      <c r="P385" s="24"/>
      <c r="Q385" s="68"/>
    </row>
    <row r="386" spans="2:17" s="70" customFormat="1" ht="63" x14ac:dyDescent="0.15">
      <c r="B386" s="88">
        <v>49</v>
      </c>
      <c r="C386" s="71"/>
      <c r="D386" s="23" t="s">
        <v>218</v>
      </c>
      <c r="E386" s="23" t="s">
        <v>219</v>
      </c>
      <c r="F386" s="228"/>
      <c r="G386" s="211"/>
      <c r="H386" s="211"/>
      <c r="I386" s="211"/>
      <c r="J386" s="44"/>
      <c r="K386" s="146"/>
      <c r="L386" s="69"/>
      <c r="M386" s="160"/>
      <c r="N386" s="145"/>
      <c r="O386" s="24"/>
      <c r="P386" s="42">
        <f t="shared" si="51"/>
        <v>0</v>
      </c>
      <c r="Q386" s="68"/>
    </row>
    <row r="387" spans="2:17" s="70" customFormat="1" x14ac:dyDescent="0.15">
      <c r="B387" s="88"/>
      <c r="C387" s="71"/>
      <c r="D387" s="23"/>
      <c r="E387" s="23" t="s">
        <v>17</v>
      </c>
      <c r="F387" s="228"/>
      <c r="G387" s="211"/>
      <c r="H387" s="211"/>
      <c r="I387" s="211"/>
      <c r="J387" s="44"/>
      <c r="K387" s="146"/>
      <c r="L387" s="69"/>
      <c r="M387" s="160"/>
      <c r="N387" s="145"/>
      <c r="O387" s="24"/>
      <c r="P387" s="42">
        <f t="shared" si="51"/>
        <v>0</v>
      </c>
      <c r="Q387" s="68"/>
    </row>
    <row r="388" spans="2:17" s="70" customFormat="1" x14ac:dyDescent="0.15">
      <c r="B388" s="88"/>
      <c r="C388" s="71"/>
      <c r="D388" s="23"/>
      <c r="E388" s="23" t="s">
        <v>220</v>
      </c>
      <c r="F388" s="228">
        <v>40</v>
      </c>
      <c r="G388" s="211"/>
      <c r="H388" s="211"/>
      <c r="I388" s="211"/>
      <c r="J388" s="44"/>
      <c r="K388" s="146">
        <f>ROUND(PRODUCT(F388:I388),2)</f>
        <v>40</v>
      </c>
      <c r="L388" s="69"/>
      <c r="M388" s="160"/>
      <c r="N388" s="145"/>
      <c r="O388" s="24"/>
      <c r="P388" s="42">
        <f t="shared" si="51"/>
        <v>0</v>
      </c>
      <c r="Q388" s="68"/>
    </row>
    <row r="389" spans="2:17" s="70" customFormat="1" x14ac:dyDescent="0.15">
      <c r="B389" s="88"/>
      <c r="C389" s="71"/>
      <c r="D389" s="23"/>
      <c r="E389" s="23" t="s">
        <v>221</v>
      </c>
      <c r="F389" s="228">
        <v>40</v>
      </c>
      <c r="G389" s="211"/>
      <c r="H389" s="211"/>
      <c r="I389" s="211"/>
      <c r="J389" s="44"/>
      <c r="K389" s="146">
        <f>ROUND(PRODUCT(F389:I389),2)</f>
        <v>40</v>
      </c>
      <c r="L389" s="69"/>
      <c r="M389" s="160"/>
      <c r="N389" s="145"/>
      <c r="O389" s="24"/>
      <c r="P389" s="42">
        <f t="shared" ref="P389" si="52">O389*K389</f>
        <v>0</v>
      </c>
      <c r="Q389" s="68"/>
    </row>
    <row r="390" spans="2:17" s="70" customFormat="1" x14ac:dyDescent="0.15">
      <c r="B390" s="88"/>
      <c r="C390" s="71"/>
      <c r="D390" s="23"/>
      <c r="E390" s="42"/>
      <c r="F390" s="228"/>
      <c r="G390" s="211"/>
      <c r="H390" s="211"/>
      <c r="I390" s="211"/>
      <c r="J390" s="44"/>
      <c r="K390" s="146"/>
      <c r="L390" s="69"/>
      <c r="M390" s="160"/>
      <c r="N390" s="145"/>
      <c r="O390" s="24"/>
      <c r="P390" s="42">
        <f t="shared" si="51"/>
        <v>0</v>
      </c>
      <c r="Q390" s="68"/>
    </row>
    <row r="391" spans="2:17" s="70" customFormat="1" x14ac:dyDescent="0.15">
      <c r="B391" s="88"/>
      <c r="C391" s="71"/>
      <c r="D391" s="23"/>
      <c r="E391" s="42" t="s">
        <v>20</v>
      </c>
      <c r="F391" s="228"/>
      <c r="G391" s="211"/>
      <c r="H391" s="211"/>
      <c r="I391" s="211"/>
      <c r="J391" s="44" t="s">
        <v>118</v>
      </c>
      <c r="K391" s="146">
        <f>ROUND(SUM(K387:K390),2)</f>
        <v>80</v>
      </c>
      <c r="L391" s="69">
        <v>29.97</v>
      </c>
      <c r="M391" s="160">
        <f>ROUND(PRODUCT(K391:L391),2)</f>
        <v>2397.6</v>
      </c>
      <c r="N391" s="145"/>
      <c r="O391" s="24">
        <v>0.43</v>
      </c>
      <c r="P391" s="42">
        <f t="shared" si="51"/>
        <v>34.4</v>
      </c>
      <c r="Q391" s="68"/>
    </row>
    <row r="392" spans="2:17" s="70" customFormat="1" x14ac:dyDescent="0.15">
      <c r="B392" s="88"/>
      <c r="C392" s="71"/>
      <c r="D392" s="23"/>
      <c r="E392" s="42"/>
      <c r="F392" s="228"/>
      <c r="G392" s="211"/>
      <c r="H392" s="211"/>
      <c r="I392" s="211"/>
      <c r="J392" s="44"/>
      <c r="K392" s="146"/>
      <c r="L392" s="69"/>
      <c r="M392" s="160"/>
      <c r="N392" s="145"/>
      <c r="O392" s="24"/>
      <c r="P392" s="42"/>
      <c r="Q392" s="68"/>
    </row>
    <row r="393" spans="2:17" s="70" customFormat="1" ht="73.5" x14ac:dyDescent="0.15">
      <c r="B393" s="88">
        <v>50</v>
      </c>
      <c r="C393" s="71"/>
      <c r="D393" s="23" t="s">
        <v>34</v>
      </c>
      <c r="E393" s="23" t="s">
        <v>35</v>
      </c>
      <c r="F393" s="228"/>
      <c r="G393" s="211"/>
      <c r="H393" s="211"/>
      <c r="I393" s="211"/>
      <c r="J393" s="44"/>
      <c r="K393" s="146"/>
      <c r="L393" s="69"/>
      <c r="M393" s="160"/>
      <c r="N393" s="145"/>
      <c r="O393" s="24"/>
      <c r="P393" s="42">
        <f t="shared" si="51"/>
        <v>0</v>
      </c>
      <c r="Q393" s="68"/>
    </row>
    <row r="394" spans="2:17" s="70" customFormat="1" x14ac:dyDescent="0.15">
      <c r="B394" s="88"/>
      <c r="C394" s="71"/>
      <c r="D394" s="23"/>
      <c r="E394" s="23" t="s">
        <v>17</v>
      </c>
      <c r="F394" s="228"/>
      <c r="G394" s="211"/>
      <c r="H394" s="211"/>
      <c r="I394" s="211"/>
      <c r="J394" s="44"/>
      <c r="K394" s="146"/>
      <c r="L394" s="69"/>
      <c r="M394" s="160"/>
      <c r="N394" s="145"/>
      <c r="O394" s="24"/>
      <c r="P394" s="42">
        <f t="shared" si="51"/>
        <v>0</v>
      </c>
      <c r="Q394" s="68"/>
    </row>
    <row r="395" spans="2:17" s="70" customFormat="1" x14ac:dyDescent="0.15">
      <c r="B395" s="88"/>
      <c r="C395" s="71"/>
      <c r="D395" s="23"/>
      <c r="E395" s="23" t="s">
        <v>223</v>
      </c>
      <c r="F395" s="228">
        <v>-3</v>
      </c>
      <c r="G395" s="211"/>
      <c r="H395" s="211"/>
      <c r="I395" s="211"/>
      <c r="J395" s="44"/>
      <c r="K395" s="146">
        <f>ROUND(PRODUCT(F395:I395),2)</f>
        <v>-3</v>
      </c>
      <c r="L395" s="69"/>
      <c r="M395" s="160"/>
      <c r="N395" s="145"/>
      <c r="O395" s="24"/>
      <c r="P395" s="42">
        <f t="shared" si="51"/>
        <v>0</v>
      </c>
      <c r="Q395" s="68"/>
    </row>
    <row r="396" spans="2:17" s="70" customFormat="1" ht="21" x14ac:dyDescent="0.15">
      <c r="B396" s="88"/>
      <c r="C396" s="71"/>
      <c r="D396" s="23"/>
      <c r="E396" s="23" t="s">
        <v>222</v>
      </c>
      <c r="F396" s="228">
        <v>20</v>
      </c>
      <c r="G396" s="211"/>
      <c r="H396" s="211"/>
      <c r="I396" s="211"/>
      <c r="J396" s="44"/>
      <c r="K396" s="146">
        <f>ROUND(PRODUCT(F396:I396),2)</f>
        <v>20</v>
      </c>
      <c r="L396" s="69"/>
      <c r="M396" s="160"/>
      <c r="N396" s="145"/>
      <c r="O396" s="24"/>
      <c r="P396" s="42">
        <f t="shared" si="51"/>
        <v>0</v>
      </c>
      <c r="Q396" s="68"/>
    </row>
    <row r="397" spans="2:17" s="70" customFormat="1" x14ac:dyDescent="0.15">
      <c r="B397" s="88"/>
      <c r="C397" s="71"/>
      <c r="D397" s="23"/>
      <c r="E397" s="42"/>
      <c r="F397" s="228"/>
      <c r="G397" s="211"/>
      <c r="H397" s="211"/>
      <c r="I397" s="211"/>
      <c r="J397" s="44"/>
      <c r="K397" s="146"/>
      <c r="L397" s="69"/>
      <c r="M397" s="160"/>
      <c r="N397" s="145"/>
      <c r="O397" s="24"/>
      <c r="P397" s="42">
        <f t="shared" si="51"/>
        <v>0</v>
      </c>
      <c r="Q397" s="68"/>
    </row>
    <row r="398" spans="2:17" s="70" customFormat="1" x14ac:dyDescent="0.15">
      <c r="B398" s="88"/>
      <c r="C398" s="71"/>
      <c r="D398" s="23"/>
      <c r="E398" s="42" t="s">
        <v>21</v>
      </c>
      <c r="F398" s="228"/>
      <c r="G398" s="211"/>
      <c r="H398" s="211"/>
      <c r="I398" s="211"/>
      <c r="J398" s="44" t="s">
        <v>123</v>
      </c>
      <c r="K398" s="146">
        <f>ROUND(SUM(K394:K397),2)</f>
        <v>17</v>
      </c>
      <c r="L398" s="69">
        <v>68.010000000000005</v>
      </c>
      <c r="M398" s="160">
        <f>ROUND(PRODUCT(K398:L398),2)</f>
        <v>1156.17</v>
      </c>
      <c r="N398" s="145"/>
      <c r="O398" s="24">
        <v>1.52</v>
      </c>
      <c r="P398" s="42">
        <f t="shared" si="51"/>
        <v>25.84</v>
      </c>
      <c r="Q398" s="68"/>
    </row>
    <row r="399" spans="2:17" s="70" customFormat="1" x14ac:dyDescent="0.15">
      <c r="B399" s="88"/>
      <c r="C399" s="71"/>
      <c r="D399" s="23"/>
      <c r="E399" s="42" t="s">
        <v>19</v>
      </c>
      <c r="F399" s="228"/>
      <c r="G399" s="211"/>
      <c r="H399" s="211"/>
      <c r="I399" s="211"/>
      <c r="J399" s="44"/>
      <c r="K399" s="146"/>
      <c r="L399" s="69"/>
      <c r="M399" s="160"/>
      <c r="N399" s="145"/>
      <c r="O399" s="24"/>
      <c r="P399" s="42">
        <f t="shared" si="51"/>
        <v>0</v>
      </c>
      <c r="Q399" s="68"/>
    </row>
    <row r="400" spans="2:17" s="70" customFormat="1" ht="73.5" x14ac:dyDescent="0.15">
      <c r="B400" s="88">
        <v>51</v>
      </c>
      <c r="C400" s="71"/>
      <c r="D400" s="23" t="s">
        <v>83</v>
      </c>
      <c r="E400" s="23" t="s">
        <v>84</v>
      </c>
      <c r="F400" s="228"/>
      <c r="G400" s="211"/>
      <c r="H400" s="211"/>
      <c r="I400" s="211"/>
      <c r="J400" s="44"/>
      <c r="K400" s="146"/>
      <c r="L400" s="69"/>
      <c r="M400" s="160"/>
      <c r="N400" s="145"/>
      <c r="O400" s="24"/>
      <c r="P400" s="42">
        <f t="shared" si="51"/>
        <v>0</v>
      </c>
      <c r="Q400" s="68"/>
    </row>
    <row r="401" spans="2:17" s="70" customFormat="1" x14ac:dyDescent="0.15">
      <c r="B401" s="88"/>
      <c r="C401" s="71"/>
      <c r="D401" s="23"/>
      <c r="E401" s="23" t="s">
        <v>17</v>
      </c>
      <c r="F401" s="228"/>
      <c r="G401" s="211"/>
      <c r="H401" s="211"/>
      <c r="I401" s="211"/>
      <c r="J401" s="44"/>
      <c r="K401" s="146"/>
      <c r="L401" s="69"/>
      <c r="M401" s="160"/>
      <c r="N401" s="145"/>
      <c r="O401" s="24"/>
      <c r="P401" s="42">
        <f t="shared" si="51"/>
        <v>0</v>
      </c>
      <c r="Q401" s="68"/>
    </row>
    <row r="402" spans="2:17" s="70" customFormat="1" x14ac:dyDescent="0.15">
      <c r="B402" s="88"/>
      <c r="C402" s="71"/>
      <c r="D402" s="23"/>
      <c r="E402" s="23" t="s">
        <v>224</v>
      </c>
      <c r="F402" s="228">
        <v>-3</v>
      </c>
      <c r="G402" s="211"/>
      <c r="H402" s="211"/>
      <c r="I402" s="211"/>
      <c r="J402" s="44"/>
      <c r="K402" s="146">
        <f>ROUND(PRODUCT(F402:I402),2)</f>
        <v>-3</v>
      </c>
      <c r="L402" s="69"/>
      <c r="M402" s="160"/>
      <c r="N402" s="145"/>
      <c r="O402" s="24"/>
      <c r="P402" s="42">
        <f t="shared" ref="P402:P403" si="53">O402*K402</f>
        <v>0</v>
      </c>
      <c r="Q402" s="68"/>
    </row>
    <row r="403" spans="2:17" s="70" customFormat="1" ht="21" x14ac:dyDescent="0.15">
      <c r="B403" s="88"/>
      <c r="C403" s="71"/>
      <c r="D403" s="23"/>
      <c r="E403" s="23" t="s">
        <v>225</v>
      </c>
      <c r="F403" s="228">
        <v>20</v>
      </c>
      <c r="G403" s="211"/>
      <c r="H403" s="211"/>
      <c r="I403" s="211"/>
      <c r="J403" s="44"/>
      <c r="K403" s="146">
        <f>ROUND(PRODUCT(F403:I403),2)</f>
        <v>20</v>
      </c>
      <c r="L403" s="69"/>
      <c r="M403" s="160"/>
      <c r="N403" s="145"/>
      <c r="O403" s="24"/>
      <c r="P403" s="42">
        <f t="shared" si="53"/>
        <v>0</v>
      </c>
      <c r="Q403" s="68"/>
    </row>
    <row r="404" spans="2:17" s="70" customFormat="1" x14ac:dyDescent="0.15">
      <c r="B404" s="88"/>
      <c r="C404" s="71"/>
      <c r="D404" s="23"/>
      <c r="E404" s="42"/>
      <c r="F404" s="228"/>
      <c r="G404" s="211"/>
      <c r="H404" s="211"/>
      <c r="I404" s="211"/>
      <c r="J404" s="44"/>
      <c r="K404" s="146"/>
      <c r="L404" s="69"/>
      <c r="M404" s="160"/>
      <c r="N404" s="145"/>
      <c r="O404" s="24"/>
      <c r="P404" s="42">
        <f t="shared" si="51"/>
        <v>0</v>
      </c>
      <c r="Q404" s="68"/>
    </row>
    <row r="405" spans="2:17" s="70" customFormat="1" x14ac:dyDescent="0.15">
      <c r="B405" s="88"/>
      <c r="C405" s="71"/>
      <c r="D405" s="23"/>
      <c r="E405" s="42" t="s">
        <v>21</v>
      </c>
      <c r="F405" s="228"/>
      <c r="G405" s="211"/>
      <c r="H405" s="211"/>
      <c r="I405" s="211"/>
      <c r="J405" s="44" t="s">
        <v>123</v>
      </c>
      <c r="K405" s="146">
        <f>ROUND(SUM(K401:K404),2)</f>
        <v>17</v>
      </c>
      <c r="L405" s="69">
        <v>74.41</v>
      </c>
      <c r="M405" s="160">
        <f>ROUND(PRODUCT(K405:L405),2)</f>
        <v>1264.97</v>
      </c>
      <c r="N405" s="145"/>
      <c r="O405" s="24">
        <v>1.67</v>
      </c>
      <c r="P405" s="42">
        <f t="shared" si="51"/>
        <v>28.39</v>
      </c>
      <c r="Q405" s="68"/>
    </row>
    <row r="406" spans="2:17" s="70" customFormat="1" x14ac:dyDescent="0.15">
      <c r="B406" s="88"/>
      <c r="C406" s="71"/>
      <c r="D406" s="23"/>
      <c r="E406" s="42" t="s">
        <v>19</v>
      </c>
      <c r="F406" s="228"/>
      <c r="G406" s="211"/>
      <c r="H406" s="211"/>
      <c r="I406" s="211"/>
      <c r="J406" s="44"/>
      <c r="K406" s="146"/>
      <c r="L406" s="69"/>
      <c r="M406" s="160"/>
      <c r="N406" s="145"/>
      <c r="O406" s="24"/>
      <c r="P406" s="42">
        <f t="shared" si="51"/>
        <v>0</v>
      </c>
      <c r="Q406" s="68"/>
    </row>
    <row r="407" spans="2:17" s="70" customFormat="1" ht="42" x14ac:dyDescent="0.15">
      <c r="B407" s="88">
        <v>52</v>
      </c>
      <c r="C407" s="71"/>
      <c r="D407" s="23" t="s">
        <v>85</v>
      </c>
      <c r="E407" s="23" t="s">
        <v>227</v>
      </c>
      <c r="F407" s="228"/>
      <c r="G407" s="211"/>
      <c r="H407" s="211"/>
      <c r="I407" s="211"/>
      <c r="J407" s="44"/>
      <c r="K407" s="146"/>
      <c r="L407" s="69"/>
      <c r="M407" s="160"/>
      <c r="N407" s="145"/>
      <c r="O407" s="24"/>
      <c r="P407" s="42">
        <f t="shared" si="51"/>
        <v>0</v>
      </c>
      <c r="Q407" s="68"/>
    </row>
    <row r="408" spans="2:17" s="70" customFormat="1" x14ac:dyDescent="0.15">
      <c r="B408" s="88"/>
      <c r="C408" s="71"/>
      <c r="D408" s="23"/>
      <c r="E408" s="23" t="s">
        <v>17</v>
      </c>
      <c r="F408" s="228"/>
      <c r="G408" s="211"/>
      <c r="H408" s="211"/>
      <c r="I408" s="211"/>
      <c r="J408" s="44"/>
      <c r="K408" s="146"/>
      <c r="L408" s="69"/>
      <c r="M408" s="160"/>
      <c r="N408" s="145"/>
      <c r="O408" s="24"/>
      <c r="P408" s="42">
        <f t="shared" si="51"/>
        <v>0</v>
      </c>
      <c r="Q408" s="68"/>
    </row>
    <row r="409" spans="2:17" s="70" customFormat="1" x14ac:dyDescent="0.15">
      <c r="B409" s="88"/>
      <c r="C409" s="71"/>
      <c r="D409" s="23"/>
      <c r="E409" s="23" t="s">
        <v>226</v>
      </c>
      <c r="F409" s="228">
        <v>-15</v>
      </c>
      <c r="G409" s="211"/>
      <c r="H409" s="211"/>
      <c r="I409" s="211"/>
      <c r="J409" s="44"/>
      <c r="K409" s="146">
        <f>ROUND(PRODUCT(F409:I409),2)</f>
        <v>-15</v>
      </c>
      <c r="L409" s="69"/>
      <c r="M409" s="160"/>
      <c r="N409" s="145"/>
      <c r="O409" s="24"/>
      <c r="P409" s="42">
        <f t="shared" si="51"/>
        <v>0</v>
      </c>
      <c r="Q409" s="68"/>
    </row>
    <row r="410" spans="2:17" s="70" customFormat="1" x14ac:dyDescent="0.15">
      <c r="B410" s="88"/>
      <c r="C410" s="71"/>
      <c r="D410" s="23"/>
      <c r="E410" s="42"/>
      <c r="F410" s="228"/>
      <c r="G410" s="211"/>
      <c r="H410" s="211"/>
      <c r="I410" s="211"/>
      <c r="J410" s="44"/>
      <c r="K410" s="146"/>
      <c r="L410" s="69"/>
      <c r="M410" s="160"/>
      <c r="N410" s="145"/>
      <c r="O410" s="24"/>
      <c r="P410" s="42">
        <f t="shared" si="51"/>
        <v>0</v>
      </c>
      <c r="Q410" s="68"/>
    </row>
    <row r="411" spans="2:17" s="70" customFormat="1" x14ac:dyDescent="0.15">
      <c r="B411" s="88"/>
      <c r="C411" s="71"/>
      <c r="D411" s="23"/>
      <c r="E411" s="42" t="s">
        <v>21</v>
      </c>
      <c r="F411" s="228"/>
      <c r="G411" s="211"/>
      <c r="H411" s="211"/>
      <c r="I411" s="211"/>
      <c r="J411" s="44" t="s">
        <v>123</v>
      </c>
      <c r="K411" s="146">
        <f>ROUND(SUM(K408:K410),2)</f>
        <v>-15</v>
      </c>
      <c r="L411" s="69">
        <v>19.97</v>
      </c>
      <c r="M411" s="160">
        <f>ROUND(PRODUCT(K411:L411),2)</f>
        <v>-299.55</v>
      </c>
      <c r="N411" s="145"/>
      <c r="O411" s="24">
        <v>0.28999999999999998</v>
      </c>
      <c r="P411" s="42">
        <f t="shared" si="51"/>
        <v>-4.3499999999999996</v>
      </c>
      <c r="Q411" s="68"/>
    </row>
    <row r="412" spans="2:17" s="70" customFormat="1" x14ac:dyDescent="0.15">
      <c r="B412" s="88"/>
      <c r="C412" s="71"/>
      <c r="D412" s="23"/>
      <c r="E412" s="42" t="s">
        <v>19</v>
      </c>
      <c r="F412" s="228"/>
      <c r="G412" s="211"/>
      <c r="H412" s="211"/>
      <c r="I412" s="211"/>
      <c r="J412" s="44"/>
      <c r="K412" s="146"/>
      <c r="L412" s="69"/>
      <c r="M412" s="160"/>
      <c r="N412" s="145"/>
      <c r="O412" s="24"/>
      <c r="P412" s="42">
        <f t="shared" si="51"/>
        <v>0</v>
      </c>
      <c r="Q412" s="68"/>
    </row>
    <row r="413" spans="2:17" s="70" customFormat="1" x14ac:dyDescent="0.15">
      <c r="B413" s="88"/>
      <c r="C413" s="71"/>
      <c r="D413" s="23"/>
      <c r="E413" s="42" t="s">
        <v>19</v>
      </c>
      <c r="F413" s="228"/>
      <c r="G413" s="211"/>
      <c r="H413" s="211"/>
      <c r="I413" s="211"/>
      <c r="J413" s="44"/>
      <c r="K413" s="146"/>
      <c r="L413" s="69"/>
      <c r="M413" s="160"/>
      <c r="N413" s="145"/>
      <c r="O413" s="24"/>
      <c r="P413" s="42">
        <f t="shared" ref="P413:P426" si="54">O413*K413</f>
        <v>0</v>
      </c>
      <c r="Q413" s="68"/>
    </row>
    <row r="414" spans="2:17" s="70" customFormat="1" x14ac:dyDescent="0.15">
      <c r="B414" s="88"/>
      <c r="C414" s="71"/>
      <c r="D414" s="23"/>
      <c r="E414" s="42" t="s">
        <v>19</v>
      </c>
      <c r="F414" s="228"/>
      <c r="G414" s="211"/>
      <c r="H414" s="211"/>
      <c r="I414" s="211"/>
      <c r="J414" s="44"/>
      <c r="K414" s="146"/>
      <c r="L414" s="69"/>
      <c r="M414" s="160"/>
      <c r="N414" s="145"/>
      <c r="O414" s="24"/>
      <c r="P414" s="42">
        <f t="shared" si="54"/>
        <v>0</v>
      </c>
      <c r="Q414" s="68"/>
    </row>
    <row r="415" spans="2:17" s="70" customFormat="1" ht="21" x14ac:dyDescent="0.15">
      <c r="B415" s="88">
        <v>53</v>
      </c>
      <c r="C415" s="71"/>
      <c r="D415" s="23" t="s">
        <v>229</v>
      </c>
      <c r="E415" s="23" t="s">
        <v>230</v>
      </c>
      <c r="F415" s="228"/>
      <c r="G415" s="211"/>
      <c r="H415" s="211"/>
      <c r="I415" s="211"/>
      <c r="J415" s="44"/>
      <c r="K415" s="146"/>
      <c r="L415" s="69"/>
      <c r="M415" s="160"/>
      <c r="N415" s="145"/>
      <c r="O415" s="24"/>
      <c r="P415" s="42">
        <f t="shared" si="54"/>
        <v>0</v>
      </c>
      <c r="Q415" s="68"/>
    </row>
    <row r="416" spans="2:17" s="70" customFormat="1" x14ac:dyDescent="0.15">
      <c r="B416" s="88"/>
      <c r="C416" s="71"/>
      <c r="D416" s="23"/>
      <c r="E416" s="23" t="s">
        <v>17</v>
      </c>
      <c r="F416" s="228"/>
      <c r="G416" s="211"/>
      <c r="H416" s="211"/>
      <c r="I416" s="211"/>
      <c r="J416" s="44"/>
      <c r="K416" s="146"/>
      <c r="L416" s="69"/>
      <c r="M416" s="160"/>
      <c r="N416" s="145"/>
      <c r="O416" s="24"/>
      <c r="P416" s="42">
        <f t="shared" si="54"/>
        <v>0</v>
      </c>
      <c r="Q416" s="68"/>
    </row>
    <row r="417" spans="2:17" s="70" customFormat="1" x14ac:dyDescent="0.15">
      <c r="B417" s="88"/>
      <c r="C417" s="71"/>
      <c r="D417" s="23"/>
      <c r="E417" s="23" t="s">
        <v>226</v>
      </c>
      <c r="F417" s="228">
        <v>17</v>
      </c>
      <c r="G417" s="211"/>
      <c r="H417" s="211"/>
      <c r="I417" s="211"/>
      <c r="J417" s="44"/>
      <c r="K417" s="146">
        <f>ROUND(PRODUCT(F417:I417),2)</f>
        <v>17</v>
      </c>
      <c r="L417" s="69"/>
      <c r="M417" s="160"/>
      <c r="N417" s="145"/>
      <c r="O417" s="24"/>
      <c r="P417" s="42">
        <f t="shared" si="54"/>
        <v>0</v>
      </c>
      <c r="Q417" s="68"/>
    </row>
    <row r="418" spans="2:17" s="70" customFormat="1" x14ac:dyDescent="0.15">
      <c r="B418" s="88"/>
      <c r="C418" s="71"/>
      <c r="D418" s="23"/>
      <c r="E418" s="42"/>
      <c r="F418" s="228"/>
      <c r="G418" s="211"/>
      <c r="H418" s="211"/>
      <c r="I418" s="211"/>
      <c r="J418" s="44"/>
      <c r="K418" s="146"/>
      <c r="L418" s="69"/>
      <c r="M418" s="160"/>
      <c r="N418" s="145"/>
      <c r="O418" s="24"/>
      <c r="P418" s="42">
        <f t="shared" si="54"/>
        <v>0</v>
      </c>
      <c r="Q418" s="68"/>
    </row>
    <row r="419" spans="2:17" s="70" customFormat="1" x14ac:dyDescent="0.15">
      <c r="B419" s="88"/>
      <c r="C419" s="71"/>
      <c r="D419" s="23"/>
      <c r="E419" s="42" t="s">
        <v>21</v>
      </c>
      <c r="F419" s="228"/>
      <c r="G419" s="211"/>
      <c r="H419" s="211"/>
      <c r="I419" s="211"/>
      <c r="J419" s="44" t="s">
        <v>123</v>
      </c>
      <c r="K419" s="146">
        <f>ROUND(SUM(K416:K418),2)</f>
        <v>17</v>
      </c>
      <c r="L419" s="69">
        <v>201.79</v>
      </c>
      <c r="M419" s="160">
        <f>ROUND(PRODUCT(K419:L419),2)</f>
        <v>3430.43</v>
      </c>
      <c r="N419" s="145"/>
      <c r="O419" s="24">
        <v>2.91</v>
      </c>
      <c r="P419" s="42">
        <f t="shared" si="54"/>
        <v>49.47</v>
      </c>
      <c r="Q419" s="68"/>
    </row>
    <row r="420" spans="2:17" s="70" customFormat="1" x14ac:dyDescent="0.15">
      <c r="B420" s="88"/>
      <c r="C420" s="71"/>
      <c r="D420" s="23"/>
      <c r="E420" s="42" t="s">
        <v>19</v>
      </c>
      <c r="F420" s="228"/>
      <c r="G420" s="211"/>
      <c r="H420" s="211"/>
      <c r="I420" s="211"/>
      <c r="J420" s="44"/>
      <c r="K420" s="146"/>
      <c r="L420" s="69"/>
      <c r="M420" s="160"/>
      <c r="N420" s="145"/>
      <c r="O420" s="24"/>
      <c r="P420" s="42">
        <f t="shared" si="54"/>
        <v>0</v>
      </c>
      <c r="Q420" s="68"/>
    </row>
    <row r="421" spans="2:17" s="70" customFormat="1" ht="21" x14ac:dyDescent="0.15">
      <c r="B421" s="88">
        <v>54</v>
      </c>
      <c r="C421" s="71"/>
      <c r="D421" s="23" t="s">
        <v>231</v>
      </c>
      <c r="E421" s="23" t="s">
        <v>232</v>
      </c>
      <c r="F421" s="228"/>
      <c r="G421" s="211"/>
      <c r="H421" s="211"/>
      <c r="I421" s="211"/>
      <c r="J421" s="44"/>
      <c r="K421" s="146"/>
      <c r="L421" s="69"/>
      <c r="M421" s="160"/>
      <c r="N421" s="145"/>
      <c r="O421" s="24"/>
      <c r="P421" s="42">
        <f t="shared" si="54"/>
        <v>0</v>
      </c>
      <c r="Q421" s="68"/>
    </row>
    <row r="422" spans="2:17" s="70" customFormat="1" x14ac:dyDescent="0.15">
      <c r="B422" s="88"/>
      <c r="C422" s="71"/>
      <c r="D422" s="23"/>
      <c r="E422" s="23" t="s">
        <v>17</v>
      </c>
      <c r="F422" s="228"/>
      <c r="G422" s="211"/>
      <c r="H422" s="211"/>
      <c r="I422" s="211"/>
      <c r="J422" s="44"/>
      <c r="K422" s="146"/>
      <c r="L422" s="69"/>
      <c r="M422" s="160"/>
      <c r="N422" s="145"/>
      <c r="O422" s="24"/>
      <c r="P422" s="42">
        <f t="shared" si="54"/>
        <v>0</v>
      </c>
      <c r="Q422" s="68"/>
    </row>
    <row r="423" spans="2:17" s="70" customFormat="1" x14ac:dyDescent="0.15">
      <c r="B423" s="88"/>
      <c r="C423" s="71"/>
      <c r="D423" s="23"/>
      <c r="E423" s="23" t="s">
        <v>226</v>
      </c>
      <c r="F423" s="228">
        <v>3</v>
      </c>
      <c r="G423" s="211"/>
      <c r="H423" s="211"/>
      <c r="I423" s="211"/>
      <c r="J423" s="44"/>
      <c r="K423" s="146">
        <f>ROUND(PRODUCT(F423:I423),2)</f>
        <v>3</v>
      </c>
      <c r="L423" s="69"/>
      <c r="M423" s="160"/>
      <c r="N423" s="145"/>
      <c r="O423" s="24"/>
      <c r="P423" s="42">
        <f t="shared" si="54"/>
        <v>0</v>
      </c>
      <c r="Q423" s="68"/>
    </row>
    <row r="424" spans="2:17" s="70" customFormat="1" x14ac:dyDescent="0.15">
      <c r="B424" s="88"/>
      <c r="C424" s="71"/>
      <c r="D424" s="23"/>
      <c r="E424" s="42"/>
      <c r="F424" s="228"/>
      <c r="G424" s="211"/>
      <c r="H424" s="211"/>
      <c r="I424" s="211"/>
      <c r="J424" s="44"/>
      <c r="K424" s="146"/>
      <c r="L424" s="69"/>
      <c r="M424" s="160"/>
      <c r="N424" s="145"/>
      <c r="O424" s="24"/>
      <c r="P424" s="42">
        <f t="shared" si="54"/>
        <v>0</v>
      </c>
      <c r="Q424" s="68"/>
    </row>
    <row r="425" spans="2:17" s="70" customFormat="1" x14ac:dyDescent="0.15">
      <c r="B425" s="88"/>
      <c r="C425" s="71"/>
      <c r="D425" s="23"/>
      <c r="E425" s="42" t="s">
        <v>21</v>
      </c>
      <c r="F425" s="228"/>
      <c r="G425" s="211"/>
      <c r="H425" s="211"/>
      <c r="I425" s="211"/>
      <c r="J425" s="44" t="s">
        <v>123</v>
      </c>
      <c r="K425" s="146">
        <f>ROUND(SUM(K422:K424),2)</f>
        <v>3</v>
      </c>
      <c r="L425" s="69">
        <v>326.94</v>
      </c>
      <c r="M425" s="160">
        <f>ROUND(PRODUCT(K425:L425),2)</f>
        <v>980.82</v>
      </c>
      <c r="N425" s="145"/>
      <c r="O425" s="24">
        <v>4.72</v>
      </c>
      <c r="P425" s="42">
        <f t="shared" si="54"/>
        <v>14.16</v>
      </c>
      <c r="Q425" s="68"/>
    </row>
    <row r="426" spans="2:17" s="70" customFormat="1" x14ac:dyDescent="0.15">
      <c r="B426" s="88"/>
      <c r="C426" s="71"/>
      <c r="D426" s="23"/>
      <c r="E426" s="42" t="s">
        <v>19</v>
      </c>
      <c r="F426" s="228"/>
      <c r="G426" s="211"/>
      <c r="H426" s="211"/>
      <c r="I426" s="211"/>
      <c r="J426" s="44"/>
      <c r="K426" s="146"/>
      <c r="L426" s="69"/>
      <c r="M426" s="160"/>
      <c r="N426" s="145"/>
      <c r="O426" s="24"/>
      <c r="P426" s="42">
        <f t="shared" si="54"/>
        <v>0</v>
      </c>
      <c r="Q426" s="68"/>
    </row>
    <row r="427" spans="2:17" s="70" customFormat="1" ht="73.5" x14ac:dyDescent="0.15">
      <c r="B427" s="88">
        <v>55</v>
      </c>
      <c r="C427" s="71"/>
      <c r="D427" s="23" t="s">
        <v>86</v>
      </c>
      <c r="E427" s="23" t="s">
        <v>87</v>
      </c>
      <c r="F427" s="228"/>
      <c r="G427" s="211"/>
      <c r="H427" s="211"/>
      <c r="I427" s="211"/>
      <c r="J427" s="44"/>
      <c r="K427" s="146"/>
      <c r="L427" s="69"/>
      <c r="M427" s="160"/>
      <c r="N427" s="145"/>
      <c r="O427" s="24"/>
      <c r="P427" s="42">
        <f t="shared" si="51"/>
        <v>0</v>
      </c>
      <c r="Q427" s="68"/>
    </row>
    <row r="428" spans="2:17" s="70" customFormat="1" x14ac:dyDescent="0.15">
      <c r="B428" s="88"/>
      <c r="C428" s="71"/>
      <c r="D428" s="23"/>
      <c r="E428" s="23" t="s">
        <v>17</v>
      </c>
      <c r="F428" s="228"/>
      <c r="G428" s="211"/>
      <c r="H428" s="211"/>
      <c r="I428" s="211"/>
      <c r="J428" s="44"/>
      <c r="K428" s="146"/>
      <c r="L428" s="69"/>
      <c r="M428" s="160"/>
      <c r="N428" s="145"/>
      <c r="O428" s="24"/>
      <c r="P428" s="42">
        <f t="shared" si="51"/>
        <v>0</v>
      </c>
      <c r="Q428" s="68"/>
    </row>
    <row r="429" spans="2:17" s="70" customFormat="1" x14ac:dyDescent="0.15">
      <c r="B429" s="88"/>
      <c r="C429" s="71"/>
      <c r="D429" s="23"/>
      <c r="E429" s="23" t="s">
        <v>228</v>
      </c>
      <c r="F429" s="228">
        <v>-3</v>
      </c>
      <c r="G429" s="211"/>
      <c r="H429" s="211"/>
      <c r="I429" s="211"/>
      <c r="J429" s="44"/>
      <c r="K429" s="146">
        <f>ROUND(PRODUCT(F429:I429),2)</f>
        <v>-3</v>
      </c>
      <c r="L429" s="69"/>
      <c r="M429" s="160"/>
      <c r="N429" s="145"/>
      <c r="O429" s="24"/>
      <c r="P429" s="42">
        <f t="shared" si="51"/>
        <v>0</v>
      </c>
      <c r="Q429" s="68"/>
    </row>
    <row r="430" spans="2:17" s="70" customFormat="1" x14ac:dyDescent="0.15">
      <c r="B430" s="88"/>
      <c r="C430" s="71"/>
      <c r="D430" s="23"/>
      <c r="E430" s="42"/>
      <c r="F430" s="228"/>
      <c r="G430" s="211"/>
      <c r="H430" s="211"/>
      <c r="I430" s="211"/>
      <c r="J430" s="44"/>
      <c r="K430" s="146"/>
      <c r="L430" s="69"/>
      <c r="M430" s="160"/>
      <c r="N430" s="145"/>
      <c r="O430" s="24"/>
      <c r="P430" s="42">
        <f t="shared" si="51"/>
        <v>0</v>
      </c>
      <c r="Q430" s="68"/>
    </row>
    <row r="431" spans="2:17" s="70" customFormat="1" x14ac:dyDescent="0.15">
      <c r="B431" s="88"/>
      <c r="C431" s="71"/>
      <c r="D431" s="23"/>
      <c r="E431" s="42" t="s">
        <v>21</v>
      </c>
      <c r="F431" s="228"/>
      <c r="G431" s="211"/>
      <c r="H431" s="211"/>
      <c r="I431" s="211"/>
      <c r="J431" s="44" t="s">
        <v>123</v>
      </c>
      <c r="K431" s="146">
        <f>ROUND(SUM(K428:K430),2)</f>
        <v>-3</v>
      </c>
      <c r="L431" s="69">
        <v>66.290000000000006</v>
      </c>
      <c r="M431" s="160">
        <f>ROUND(PRODUCT(K431:L431),2)</f>
        <v>-198.87</v>
      </c>
      <c r="N431" s="145"/>
      <c r="O431" s="24">
        <v>0.96</v>
      </c>
      <c r="P431" s="42">
        <f t="shared" si="51"/>
        <v>-2.88</v>
      </c>
      <c r="Q431" s="68"/>
    </row>
    <row r="432" spans="2:17" s="70" customFormat="1" x14ac:dyDescent="0.15">
      <c r="B432" s="88"/>
      <c r="C432" s="71"/>
      <c r="D432" s="23"/>
      <c r="E432" s="42" t="s">
        <v>19</v>
      </c>
      <c r="F432" s="228"/>
      <c r="G432" s="211"/>
      <c r="H432" s="211"/>
      <c r="I432" s="211"/>
      <c r="J432" s="44"/>
      <c r="K432" s="146"/>
      <c r="L432" s="69"/>
      <c r="M432" s="160"/>
      <c r="N432" s="145"/>
      <c r="O432" s="24"/>
      <c r="P432" s="42">
        <f t="shared" si="51"/>
        <v>0</v>
      </c>
      <c r="Q432" s="68"/>
    </row>
    <row r="433" spans="2:17" s="70" customFormat="1" ht="115.5" x14ac:dyDescent="0.15">
      <c r="B433" s="88">
        <v>56</v>
      </c>
      <c r="C433" s="71"/>
      <c r="D433" s="23" t="s">
        <v>233</v>
      </c>
      <c r="E433" s="23" t="s">
        <v>234</v>
      </c>
      <c r="F433" s="228"/>
      <c r="G433" s="211"/>
      <c r="H433" s="211"/>
      <c r="I433" s="211"/>
      <c r="J433" s="44"/>
      <c r="K433" s="146"/>
      <c r="L433" s="69"/>
      <c r="M433" s="160"/>
      <c r="N433" s="145"/>
      <c r="O433" s="24"/>
      <c r="P433" s="42">
        <f t="shared" si="51"/>
        <v>0</v>
      </c>
      <c r="Q433" s="68"/>
    </row>
    <row r="434" spans="2:17" s="70" customFormat="1" x14ac:dyDescent="0.15">
      <c r="B434" s="88"/>
      <c r="C434" s="71"/>
      <c r="D434" s="23"/>
      <c r="E434" s="23" t="s">
        <v>17</v>
      </c>
      <c r="F434" s="228"/>
      <c r="G434" s="211"/>
      <c r="H434" s="211"/>
      <c r="I434" s="211"/>
      <c r="J434" s="44"/>
      <c r="K434" s="146"/>
      <c r="L434" s="69"/>
      <c r="M434" s="160"/>
      <c r="N434" s="145"/>
      <c r="O434" s="24"/>
      <c r="P434" s="42">
        <f t="shared" si="51"/>
        <v>0</v>
      </c>
      <c r="Q434" s="68"/>
    </row>
    <row r="435" spans="2:17" s="70" customFormat="1" x14ac:dyDescent="0.15">
      <c r="B435" s="88"/>
      <c r="C435" s="71"/>
      <c r="D435" s="23"/>
      <c r="E435" s="23" t="s">
        <v>19</v>
      </c>
      <c r="F435" s="228">
        <v>2</v>
      </c>
      <c r="G435" s="211"/>
      <c r="H435" s="211"/>
      <c r="I435" s="211"/>
      <c r="J435" s="44"/>
      <c r="K435" s="146">
        <f>ROUND(PRODUCT(F435:I435),2)</f>
        <v>2</v>
      </c>
      <c r="L435" s="69"/>
      <c r="M435" s="160"/>
      <c r="N435" s="145"/>
      <c r="O435" s="24"/>
      <c r="P435" s="42">
        <f t="shared" si="51"/>
        <v>0</v>
      </c>
      <c r="Q435" s="68"/>
    </row>
    <row r="436" spans="2:17" s="70" customFormat="1" x14ac:dyDescent="0.15">
      <c r="B436" s="88"/>
      <c r="C436" s="71"/>
      <c r="D436" s="23"/>
      <c r="E436" s="42"/>
      <c r="F436" s="228"/>
      <c r="G436" s="211"/>
      <c r="H436" s="211"/>
      <c r="I436" s="211"/>
      <c r="J436" s="44"/>
      <c r="K436" s="146"/>
      <c r="L436" s="69"/>
      <c r="M436" s="160"/>
      <c r="N436" s="145"/>
      <c r="O436" s="24"/>
      <c r="P436" s="42">
        <f t="shared" si="51"/>
        <v>0</v>
      </c>
      <c r="Q436" s="68"/>
    </row>
    <row r="437" spans="2:17" s="70" customFormat="1" x14ac:dyDescent="0.15">
      <c r="B437" s="88"/>
      <c r="C437" s="71"/>
      <c r="D437" s="23"/>
      <c r="E437" s="42" t="s">
        <v>21</v>
      </c>
      <c r="F437" s="228"/>
      <c r="G437" s="211"/>
      <c r="H437" s="211"/>
      <c r="I437" s="211"/>
      <c r="J437" s="44" t="s">
        <v>123</v>
      </c>
      <c r="K437" s="146">
        <f>ROUND(SUM(K434:K436),2)</f>
        <v>2</v>
      </c>
      <c r="L437" s="69">
        <v>741.11</v>
      </c>
      <c r="M437" s="160">
        <f>ROUND(PRODUCT(K437:L437),2)</f>
        <v>1482.22</v>
      </c>
      <c r="N437" s="145"/>
      <c r="O437" s="24">
        <v>10.69</v>
      </c>
      <c r="P437" s="42">
        <f t="shared" si="51"/>
        <v>21.38</v>
      </c>
      <c r="Q437" s="68"/>
    </row>
    <row r="438" spans="2:17" s="70" customFormat="1" x14ac:dyDescent="0.15">
      <c r="B438" s="86"/>
      <c r="C438" s="71"/>
      <c r="D438" s="23"/>
      <c r="E438" s="42" t="s">
        <v>19</v>
      </c>
      <c r="F438" s="228"/>
      <c r="G438" s="211"/>
      <c r="H438" s="211"/>
      <c r="I438" s="211"/>
      <c r="J438" s="44"/>
      <c r="K438" s="146"/>
      <c r="L438" s="69"/>
      <c r="M438" s="160"/>
      <c r="N438" s="145"/>
      <c r="O438" s="24"/>
      <c r="P438" s="42">
        <f t="shared" ref="P438" si="55">O438*K438</f>
        <v>0</v>
      </c>
      <c r="Q438" s="68"/>
    </row>
    <row r="439" spans="2:17" s="70" customFormat="1" ht="12.75" x14ac:dyDescent="0.15">
      <c r="B439" s="86"/>
      <c r="C439" s="105"/>
      <c r="D439" s="106"/>
      <c r="E439" s="38" t="str">
        <f>CONCATENATE("Totale fase ",E384)</f>
        <v>Totale fase Impianto idrico sanitario</v>
      </c>
      <c r="F439" s="231"/>
      <c r="G439" s="210"/>
      <c r="H439" s="210"/>
      <c r="I439" s="210"/>
      <c r="J439" s="107"/>
      <c r="K439" s="147"/>
      <c r="L439" s="108"/>
      <c r="M439" s="162"/>
      <c r="N439" s="175">
        <f>SUM(M391:M437)</f>
        <v>10213.789999999997</v>
      </c>
      <c r="O439" s="109"/>
      <c r="P439" s="110"/>
      <c r="Q439" s="82">
        <f>SUM(P391:P437)</f>
        <v>166.41</v>
      </c>
    </row>
    <row r="440" spans="2:17" s="70" customFormat="1" x14ac:dyDescent="0.15">
      <c r="B440" s="86"/>
      <c r="C440" s="105"/>
      <c r="D440" s="106"/>
      <c r="E440" s="120"/>
      <c r="F440" s="231"/>
      <c r="G440" s="210"/>
      <c r="H440" s="210"/>
      <c r="I440" s="210"/>
      <c r="J440" s="112"/>
      <c r="K440" s="147"/>
      <c r="L440" s="108"/>
      <c r="M440" s="163"/>
      <c r="N440" s="176"/>
      <c r="O440" s="113"/>
      <c r="P440" s="121"/>
      <c r="Q440" s="116"/>
    </row>
    <row r="441" spans="2:17" s="70" customFormat="1" ht="12.75" x14ac:dyDescent="0.15">
      <c r="B441" s="86"/>
      <c r="C441" s="37" t="s">
        <v>138</v>
      </c>
      <c r="D441" s="106"/>
      <c r="E441" s="38" t="s">
        <v>111</v>
      </c>
      <c r="F441" s="231"/>
      <c r="G441" s="210"/>
      <c r="H441" s="210"/>
      <c r="I441" s="210"/>
      <c r="J441" s="107"/>
      <c r="K441" s="147"/>
      <c r="L441" s="108"/>
      <c r="M441" s="162"/>
      <c r="N441" s="176"/>
      <c r="O441" s="113"/>
      <c r="P441" s="113">
        <f>J441*N441</f>
        <v>0</v>
      </c>
      <c r="Q441" s="116"/>
    </row>
    <row r="442" spans="2:17" s="70" customFormat="1" x14ac:dyDescent="0.15">
      <c r="B442" s="86"/>
      <c r="C442" s="71"/>
      <c r="D442" s="23"/>
      <c r="E442" s="42"/>
      <c r="F442" s="228"/>
      <c r="G442" s="211"/>
      <c r="H442" s="211"/>
      <c r="I442" s="211"/>
      <c r="J442" s="44"/>
      <c r="K442" s="146"/>
      <c r="L442" s="69"/>
      <c r="M442" s="160"/>
      <c r="N442" s="145"/>
      <c r="O442" s="24"/>
      <c r="P442" s="42"/>
      <c r="Q442" s="68"/>
    </row>
    <row r="443" spans="2:17" s="70" customFormat="1" x14ac:dyDescent="0.15">
      <c r="B443" s="86"/>
      <c r="C443" s="71"/>
      <c r="D443" s="23"/>
      <c r="E443" s="42" t="s">
        <v>188</v>
      </c>
      <c r="F443" s="228"/>
      <c r="G443" s="211"/>
      <c r="H443" s="211"/>
      <c r="I443" s="211"/>
      <c r="J443" s="44"/>
      <c r="K443" s="146"/>
      <c r="L443" s="69"/>
      <c r="M443" s="160"/>
      <c r="N443" s="145"/>
      <c r="O443" s="24"/>
      <c r="P443" s="42"/>
      <c r="Q443" s="68"/>
    </row>
    <row r="444" spans="2:17" s="70" customFormat="1" x14ac:dyDescent="0.15">
      <c r="B444" s="86"/>
      <c r="C444" s="71"/>
      <c r="D444" s="23"/>
      <c r="E444" s="42" t="s">
        <v>19</v>
      </c>
      <c r="F444" s="228"/>
      <c r="G444" s="211"/>
      <c r="H444" s="211"/>
      <c r="I444" s="211"/>
      <c r="J444" s="44"/>
      <c r="K444" s="146"/>
      <c r="L444" s="69"/>
      <c r="M444" s="160"/>
      <c r="N444" s="145"/>
      <c r="O444" s="24"/>
      <c r="P444" s="42">
        <f t="shared" ref="P444" si="56">O444*K444</f>
        <v>0</v>
      </c>
      <c r="Q444" s="68"/>
    </row>
    <row r="445" spans="2:17" s="70" customFormat="1" ht="12.75" x14ac:dyDescent="0.15">
      <c r="B445" s="86"/>
      <c r="C445" s="105"/>
      <c r="D445" s="106"/>
      <c r="E445" s="38" t="str">
        <f>CONCATENATE("Totale fase ",E441)</f>
        <v>Totale fase Rete scarico acque bianche</v>
      </c>
      <c r="F445" s="231"/>
      <c r="G445" s="210"/>
      <c r="H445" s="210"/>
      <c r="I445" s="210"/>
      <c r="J445" s="107"/>
      <c r="K445" s="147"/>
      <c r="L445" s="108"/>
      <c r="M445" s="162"/>
      <c r="N445" s="175">
        <v>0</v>
      </c>
      <c r="O445" s="109"/>
      <c r="P445" s="110"/>
      <c r="Q445" s="124">
        <v>0</v>
      </c>
    </row>
    <row r="446" spans="2:17" s="70" customFormat="1" x14ac:dyDescent="0.15">
      <c r="B446" s="86"/>
      <c r="C446" s="105"/>
      <c r="D446" s="106"/>
      <c r="E446" s="120"/>
      <c r="F446" s="231"/>
      <c r="G446" s="210"/>
      <c r="H446" s="210"/>
      <c r="I446" s="210"/>
      <c r="J446" s="112"/>
      <c r="K446" s="147"/>
      <c r="L446" s="108"/>
      <c r="M446" s="163"/>
      <c r="N446" s="176"/>
      <c r="O446" s="113"/>
      <c r="P446" s="121"/>
      <c r="Q446" s="116"/>
    </row>
    <row r="447" spans="2:17" s="70" customFormat="1" ht="12.75" x14ac:dyDescent="0.15">
      <c r="B447" s="86"/>
      <c r="C447" s="37" t="s">
        <v>110</v>
      </c>
      <c r="D447" s="106"/>
      <c r="E447" s="38" t="s">
        <v>112</v>
      </c>
      <c r="F447" s="231"/>
      <c r="G447" s="210"/>
      <c r="H447" s="210"/>
      <c r="I447" s="210"/>
      <c r="J447" s="107"/>
      <c r="K447" s="147"/>
      <c r="L447" s="108"/>
      <c r="M447" s="162"/>
      <c r="N447" s="176"/>
      <c r="O447" s="113"/>
      <c r="P447" s="113">
        <f>J447*N447</f>
        <v>0</v>
      </c>
      <c r="Q447" s="116"/>
    </row>
    <row r="448" spans="2:17" s="70" customFormat="1" x14ac:dyDescent="0.15">
      <c r="B448" s="86"/>
      <c r="C448" s="71"/>
      <c r="D448" s="23"/>
      <c r="E448" s="42"/>
      <c r="F448" s="228"/>
      <c r="G448" s="211"/>
      <c r="H448" s="211"/>
      <c r="I448" s="211"/>
      <c r="J448" s="44"/>
      <c r="K448" s="146"/>
      <c r="L448" s="69"/>
      <c r="M448" s="160"/>
      <c r="N448" s="145"/>
      <c r="O448" s="24"/>
      <c r="P448" s="42"/>
      <c r="Q448" s="68"/>
    </row>
    <row r="449" spans="2:17" s="70" customFormat="1" x14ac:dyDescent="0.15">
      <c r="B449" s="86"/>
      <c r="C449" s="71"/>
      <c r="D449" s="23"/>
      <c r="E449" s="42" t="s">
        <v>188</v>
      </c>
      <c r="F449" s="228"/>
      <c r="G449" s="211"/>
      <c r="H449" s="211"/>
      <c r="I449" s="211"/>
      <c r="J449" s="44"/>
      <c r="K449" s="146"/>
      <c r="L449" s="69"/>
      <c r="M449" s="160"/>
      <c r="N449" s="145"/>
      <c r="O449" s="24"/>
      <c r="P449" s="42"/>
      <c r="Q449" s="68"/>
    </row>
    <row r="450" spans="2:17" s="70" customFormat="1" x14ac:dyDescent="0.15">
      <c r="B450" s="86"/>
      <c r="C450" s="71"/>
      <c r="D450" s="23"/>
      <c r="E450" s="42" t="s">
        <v>19</v>
      </c>
      <c r="F450" s="228"/>
      <c r="G450" s="211"/>
      <c r="H450" s="211"/>
      <c r="I450" s="211"/>
      <c r="J450" s="44"/>
      <c r="K450" s="146"/>
      <c r="L450" s="69"/>
      <c r="M450" s="160"/>
      <c r="N450" s="145"/>
      <c r="O450" s="24"/>
      <c r="P450" s="42">
        <f t="shared" ref="P450" si="57">O450*K450</f>
        <v>0</v>
      </c>
      <c r="Q450" s="68"/>
    </row>
    <row r="451" spans="2:17" s="70" customFormat="1" ht="12.75" x14ac:dyDescent="0.15">
      <c r="B451" s="86"/>
      <c r="C451" s="105"/>
      <c r="D451" s="106"/>
      <c r="E451" s="38" t="str">
        <f>CONCATENATE("Totale fase ",E447)</f>
        <v>Totale fase Rete scarico acque nere e grigie</v>
      </c>
      <c r="F451" s="231"/>
      <c r="G451" s="210"/>
      <c r="H451" s="210"/>
      <c r="I451" s="210"/>
      <c r="J451" s="107"/>
      <c r="K451" s="147"/>
      <c r="L451" s="108"/>
      <c r="M451" s="162"/>
      <c r="N451" s="175">
        <v>0</v>
      </c>
      <c r="O451" s="109"/>
      <c r="P451" s="110"/>
      <c r="Q451" s="124">
        <v>0</v>
      </c>
    </row>
    <row r="452" spans="2:17" s="70" customFormat="1" x14ac:dyDescent="0.15">
      <c r="B452" s="86"/>
      <c r="C452" s="105"/>
      <c r="D452" s="106"/>
      <c r="E452" s="120"/>
      <c r="F452" s="231"/>
      <c r="G452" s="210"/>
      <c r="H452" s="210"/>
      <c r="I452" s="210"/>
      <c r="J452" s="112"/>
      <c r="K452" s="147"/>
      <c r="L452" s="108"/>
      <c r="M452" s="163"/>
      <c r="N452" s="176"/>
      <c r="O452" s="113"/>
      <c r="P452" s="121"/>
      <c r="Q452" s="116"/>
    </row>
    <row r="453" spans="2:17" s="70" customFormat="1" ht="15" x14ac:dyDescent="0.15">
      <c r="B453" s="86"/>
      <c r="C453" s="35" t="s">
        <v>113</v>
      </c>
      <c r="D453" s="106"/>
      <c r="E453" s="36" t="s">
        <v>103</v>
      </c>
      <c r="F453" s="231"/>
      <c r="G453" s="210"/>
      <c r="H453" s="210"/>
      <c r="I453" s="210"/>
      <c r="J453" s="107"/>
      <c r="K453" s="147"/>
      <c r="L453" s="108"/>
      <c r="M453" s="162"/>
      <c r="N453" s="176"/>
      <c r="O453" s="113"/>
      <c r="P453" s="115"/>
      <c r="Q453" s="123"/>
    </row>
    <row r="454" spans="2:17" s="70" customFormat="1" ht="25.5" x14ac:dyDescent="0.15">
      <c r="B454" s="86"/>
      <c r="C454" s="37" t="s">
        <v>114</v>
      </c>
      <c r="D454" s="106"/>
      <c r="E454" s="38" t="s">
        <v>115</v>
      </c>
      <c r="F454" s="231"/>
      <c r="G454" s="210"/>
      <c r="H454" s="210"/>
      <c r="I454" s="210"/>
      <c r="J454" s="107"/>
      <c r="K454" s="147"/>
      <c r="L454" s="108"/>
      <c r="M454" s="162"/>
      <c r="N454" s="176"/>
      <c r="O454" s="113"/>
      <c r="P454" s="113">
        <f>J454*N454</f>
        <v>0</v>
      </c>
      <c r="Q454" s="116"/>
    </row>
    <row r="455" spans="2:17" s="70" customFormat="1" x14ac:dyDescent="0.15">
      <c r="B455" s="86"/>
      <c r="C455" s="42"/>
      <c r="D455" s="23"/>
      <c r="E455" s="42" t="s">
        <v>19</v>
      </c>
      <c r="F455" s="228"/>
      <c r="G455" s="211"/>
      <c r="H455" s="211"/>
      <c r="I455" s="211"/>
      <c r="J455" s="44"/>
      <c r="K455" s="146"/>
      <c r="L455" s="69"/>
      <c r="M455" s="160"/>
      <c r="N455" s="145"/>
      <c r="O455" s="24"/>
      <c r="P455" s="42"/>
      <c r="Q455" s="68"/>
    </row>
    <row r="456" spans="2:17" s="70" customFormat="1" x14ac:dyDescent="0.15">
      <c r="B456" s="86"/>
      <c r="C456" s="71"/>
      <c r="D456" s="23"/>
      <c r="E456" s="42" t="s">
        <v>188</v>
      </c>
      <c r="F456" s="228"/>
      <c r="G456" s="211"/>
      <c r="H456" s="211"/>
      <c r="I456" s="211"/>
      <c r="J456" s="44"/>
      <c r="K456" s="146"/>
      <c r="L456" s="69"/>
      <c r="M456" s="160"/>
      <c r="N456" s="145"/>
      <c r="O456" s="24"/>
      <c r="P456" s="42"/>
      <c r="Q456" s="68"/>
    </row>
    <row r="457" spans="2:17" s="70" customFormat="1" x14ac:dyDescent="0.15">
      <c r="B457" s="86"/>
      <c r="C457" s="127"/>
      <c r="D457" s="102"/>
      <c r="E457" s="23"/>
      <c r="F457" s="230"/>
      <c r="G457" s="213"/>
      <c r="H457" s="213"/>
      <c r="I457" s="213"/>
      <c r="J457" s="96"/>
      <c r="K457" s="146"/>
      <c r="L457" s="128"/>
      <c r="M457" s="161"/>
      <c r="N457" s="145"/>
      <c r="O457" s="24"/>
      <c r="P457" s="42"/>
      <c r="Q457" s="68"/>
    </row>
    <row r="458" spans="2:17" s="70" customFormat="1" ht="27" customHeight="1" x14ac:dyDescent="0.15">
      <c r="B458" s="86"/>
      <c r="C458" s="129"/>
      <c r="D458" s="106"/>
      <c r="E458" s="38" t="str">
        <f>CONCATENATE("Totale fase ",E454)</f>
        <v>Totale fase Rifacimento pavimentazione esterna sottopensilina</v>
      </c>
      <c r="F458" s="231"/>
      <c r="G458" s="210"/>
      <c r="H458" s="210"/>
      <c r="I458" s="210"/>
      <c r="J458" s="107"/>
      <c r="K458" s="147"/>
      <c r="L458" s="108"/>
      <c r="M458" s="162"/>
      <c r="N458" s="175">
        <f>SUM(M455:M455)</f>
        <v>0</v>
      </c>
      <c r="O458" s="109"/>
      <c r="P458" s="110"/>
      <c r="Q458" s="124">
        <f>SUM(P455:P455)</f>
        <v>0</v>
      </c>
    </row>
    <row r="459" spans="2:17" s="70" customFormat="1" ht="12.75" x14ac:dyDescent="0.15">
      <c r="B459" s="86"/>
      <c r="C459" s="130"/>
      <c r="D459" s="131"/>
      <c r="E459" s="57"/>
      <c r="F459" s="232"/>
      <c r="G459" s="214"/>
      <c r="H459" s="214"/>
      <c r="I459" s="214"/>
      <c r="J459" s="132"/>
      <c r="K459" s="148"/>
      <c r="L459" s="133"/>
      <c r="M459" s="166"/>
      <c r="N459" s="177"/>
      <c r="O459" s="134"/>
      <c r="P459" s="135"/>
      <c r="Q459" s="136"/>
    </row>
    <row r="460" spans="2:17" s="70" customFormat="1" ht="15" x14ac:dyDescent="0.15">
      <c r="B460" s="86"/>
      <c r="C460" s="35" t="s">
        <v>124</v>
      </c>
      <c r="D460" s="106"/>
      <c r="E460" s="36" t="s">
        <v>128</v>
      </c>
      <c r="F460" s="231"/>
      <c r="G460" s="210"/>
      <c r="H460" s="210"/>
      <c r="I460" s="210"/>
      <c r="J460" s="107"/>
      <c r="K460" s="147"/>
      <c r="L460" s="108"/>
      <c r="M460" s="162"/>
      <c r="N460" s="176"/>
      <c r="O460" s="113"/>
      <c r="P460" s="115"/>
      <c r="Q460" s="123"/>
    </row>
    <row r="461" spans="2:17" s="70" customFormat="1" ht="12.75" x14ac:dyDescent="0.15">
      <c r="B461" s="86"/>
      <c r="C461" s="37" t="s">
        <v>139</v>
      </c>
      <c r="D461" s="106"/>
      <c r="E461" s="38" t="s">
        <v>128</v>
      </c>
      <c r="F461" s="231"/>
      <c r="G461" s="210"/>
      <c r="H461" s="210"/>
      <c r="I461" s="210"/>
      <c r="J461" s="107"/>
      <c r="K461" s="147"/>
      <c r="L461" s="107"/>
      <c r="M461" s="163"/>
      <c r="N461" s="147"/>
      <c r="O461" s="107"/>
      <c r="P461" s="107"/>
      <c r="Q461" s="82"/>
    </row>
    <row r="462" spans="2:17" s="70" customFormat="1" ht="10.5" customHeight="1" x14ac:dyDescent="0.15">
      <c r="B462" s="86"/>
      <c r="C462" s="71"/>
      <c r="D462" s="23"/>
      <c r="E462" s="23"/>
      <c r="F462" s="228"/>
      <c r="G462" s="211"/>
      <c r="H462" s="211"/>
      <c r="I462" s="211"/>
      <c r="J462" s="42"/>
      <c r="K462" s="144"/>
      <c r="L462" s="42"/>
      <c r="M462" s="160"/>
      <c r="N462" s="144"/>
      <c r="O462" s="42"/>
      <c r="P462" s="42"/>
      <c r="Q462" s="68"/>
    </row>
    <row r="463" spans="2:17" s="70" customFormat="1" ht="73.5" x14ac:dyDescent="0.15">
      <c r="B463" s="86">
        <v>57</v>
      </c>
      <c r="C463" s="71"/>
      <c r="D463" s="23" t="s">
        <v>127</v>
      </c>
      <c r="E463" s="23" t="s">
        <v>182</v>
      </c>
      <c r="F463" s="228"/>
      <c r="G463" s="211"/>
      <c r="H463" s="211"/>
      <c r="I463" s="211"/>
      <c r="J463" s="42"/>
      <c r="K463" s="144"/>
      <c r="L463" s="42"/>
      <c r="M463" s="160"/>
      <c r="N463" s="144"/>
      <c r="O463" s="42"/>
      <c r="P463" s="42"/>
      <c r="Q463" s="68"/>
    </row>
    <row r="464" spans="2:17" s="70" customFormat="1" x14ac:dyDescent="0.15">
      <c r="B464" s="86"/>
      <c r="C464" s="71"/>
      <c r="D464" s="23"/>
      <c r="E464" s="23" t="s">
        <v>126</v>
      </c>
      <c r="F464" s="228"/>
      <c r="G464" s="211"/>
      <c r="H464" s="211"/>
      <c r="I464" s="211"/>
      <c r="J464" s="42"/>
      <c r="K464" s="144"/>
      <c r="L464" s="42"/>
      <c r="M464" s="160"/>
      <c r="N464" s="144"/>
      <c r="O464" s="42"/>
      <c r="P464" s="42"/>
      <c r="Q464" s="68"/>
    </row>
    <row r="465" spans="2:18" s="70" customFormat="1" x14ac:dyDescent="0.15">
      <c r="B465" s="86"/>
      <c r="C465" s="71"/>
      <c r="D465" s="23"/>
      <c r="E465" s="23" t="s">
        <v>17</v>
      </c>
      <c r="F465" s="228"/>
      <c r="G465" s="211"/>
      <c r="H465" s="211"/>
      <c r="I465" s="211"/>
      <c r="J465" s="42"/>
      <c r="K465" s="144"/>
      <c r="L465" s="42"/>
      <c r="M465" s="160"/>
      <c r="N465" s="144"/>
      <c r="O465" s="42"/>
      <c r="P465" s="42"/>
      <c r="Q465" s="68"/>
    </row>
    <row r="466" spans="2:18" s="70" customFormat="1" x14ac:dyDescent="0.15">
      <c r="B466" s="88"/>
      <c r="C466" s="71"/>
      <c r="D466" s="23"/>
      <c r="E466" s="23" t="s">
        <v>235</v>
      </c>
      <c r="F466" s="228">
        <f>-(210-80)</f>
        <v>-130</v>
      </c>
      <c r="G466" s="211"/>
      <c r="H466" s="211"/>
      <c r="I466" s="211"/>
      <c r="J466" s="44"/>
      <c r="K466" s="146">
        <f>ROUND(PRODUCT(F466:I466),2)</f>
        <v>-130</v>
      </c>
      <c r="L466" s="69"/>
      <c r="M466" s="160"/>
      <c r="N466" s="145"/>
      <c r="O466" s="24"/>
      <c r="P466" s="42">
        <f t="shared" ref="P466" si="58">O466*K466</f>
        <v>0</v>
      </c>
      <c r="Q466" s="68"/>
    </row>
    <row r="467" spans="2:18" s="70" customFormat="1" x14ac:dyDescent="0.15">
      <c r="B467" s="88"/>
      <c r="C467" s="71"/>
      <c r="D467" s="23"/>
      <c r="E467" s="23"/>
      <c r="F467" s="228"/>
      <c r="G467" s="211"/>
      <c r="H467" s="211"/>
      <c r="I467" s="211"/>
      <c r="J467" s="44"/>
      <c r="K467" s="146"/>
      <c r="L467" s="69"/>
      <c r="M467" s="160"/>
      <c r="N467" s="145"/>
      <c r="O467" s="24"/>
      <c r="P467" s="42"/>
      <c r="Q467" s="68"/>
    </row>
    <row r="468" spans="2:18" s="70" customFormat="1" ht="10.5" customHeight="1" x14ac:dyDescent="0.15">
      <c r="B468" s="86"/>
      <c r="C468" s="71"/>
      <c r="D468" s="23"/>
      <c r="E468" s="42" t="s">
        <v>20</v>
      </c>
      <c r="F468" s="228"/>
      <c r="G468" s="211"/>
      <c r="H468" s="211"/>
      <c r="I468" s="211"/>
      <c r="J468" s="42" t="s">
        <v>118</v>
      </c>
      <c r="K468" s="146">
        <f>ROUND(SUM(K465:K467),2)</f>
        <v>-130</v>
      </c>
      <c r="L468" s="42">
        <v>37.159999999999997</v>
      </c>
      <c r="M468" s="160">
        <f>ROUND(PRODUCT(K468:L468),2)</f>
        <v>-4830.8</v>
      </c>
      <c r="N468" s="144"/>
      <c r="O468" s="42">
        <v>0.54</v>
      </c>
      <c r="P468" s="42">
        <f>+O468*K468</f>
        <v>-70.2</v>
      </c>
      <c r="Q468" s="68"/>
    </row>
    <row r="469" spans="2:18" s="70" customFormat="1" ht="10.5" customHeight="1" x14ac:dyDescent="0.15">
      <c r="B469" s="86"/>
      <c r="C469" s="71"/>
      <c r="D469" s="23"/>
      <c r="E469" s="23"/>
      <c r="F469" s="228"/>
      <c r="G469" s="211"/>
      <c r="H469" s="211"/>
      <c r="I469" s="211"/>
      <c r="J469" s="42"/>
      <c r="K469" s="144"/>
      <c r="L469" s="42"/>
      <c r="M469" s="160"/>
      <c r="N469" s="144"/>
      <c r="O469" s="42"/>
      <c r="P469" s="42"/>
      <c r="Q469" s="68"/>
    </row>
    <row r="470" spans="2:18" s="70" customFormat="1" ht="63" x14ac:dyDescent="0.15">
      <c r="B470" s="86">
        <v>58</v>
      </c>
      <c r="C470" s="71"/>
      <c r="D470" s="23" t="s">
        <v>236</v>
      </c>
      <c r="E470" s="23" t="s">
        <v>237</v>
      </c>
      <c r="F470" s="228"/>
      <c r="G470" s="211"/>
      <c r="H470" s="211"/>
      <c r="I470" s="211"/>
      <c r="J470" s="42"/>
      <c r="K470" s="144"/>
      <c r="L470" s="42"/>
      <c r="M470" s="160"/>
      <c r="N470" s="144"/>
      <c r="O470" s="42"/>
      <c r="P470" s="42"/>
      <c r="Q470" s="68"/>
    </row>
    <row r="471" spans="2:18" s="70" customFormat="1" ht="12.75" customHeight="1" x14ac:dyDescent="0.15">
      <c r="B471" s="86"/>
      <c r="C471" s="71"/>
      <c r="D471" s="23"/>
      <c r="E471" s="23" t="s">
        <v>17</v>
      </c>
      <c r="F471" s="228"/>
      <c r="G471" s="211"/>
      <c r="H471" s="211"/>
      <c r="I471" s="211"/>
      <c r="J471" s="42"/>
      <c r="K471" s="144"/>
      <c r="L471" s="42"/>
      <c r="M471" s="160"/>
      <c r="N471" s="144"/>
      <c r="O471" s="42"/>
      <c r="P471" s="42"/>
      <c r="Q471" s="68"/>
    </row>
    <row r="472" spans="2:18" s="70" customFormat="1" x14ac:dyDescent="0.15">
      <c r="B472" s="88"/>
      <c r="C472" s="71"/>
      <c r="D472" s="23"/>
      <c r="E472" s="23" t="s">
        <v>235</v>
      </c>
      <c r="F472" s="228">
        <v>230</v>
      </c>
      <c r="G472" s="211"/>
      <c r="H472" s="211"/>
      <c r="I472" s="211"/>
      <c r="J472" s="44"/>
      <c r="K472" s="146">
        <f>ROUND(PRODUCT(F472:I472),2)</f>
        <v>230</v>
      </c>
      <c r="L472" s="69"/>
      <c r="M472" s="160"/>
      <c r="N472" s="145"/>
      <c r="O472" s="24"/>
      <c r="P472" s="42">
        <f t="shared" ref="P472" si="59">O472*K472</f>
        <v>0</v>
      </c>
      <c r="Q472" s="68"/>
    </row>
    <row r="473" spans="2:18" s="70" customFormat="1" x14ac:dyDescent="0.15">
      <c r="B473" s="88"/>
      <c r="C473" s="71"/>
      <c r="D473" s="23"/>
      <c r="E473" s="23"/>
      <c r="F473" s="228"/>
      <c r="G473" s="211"/>
      <c r="H473" s="211"/>
      <c r="I473" s="211"/>
      <c r="J473" s="44"/>
      <c r="K473" s="146"/>
      <c r="L473" s="69"/>
      <c r="M473" s="160"/>
      <c r="N473" s="145"/>
      <c r="O473" s="24"/>
      <c r="P473" s="42"/>
      <c r="Q473" s="68"/>
    </row>
    <row r="474" spans="2:18" s="70" customFormat="1" ht="10.5" customHeight="1" x14ac:dyDescent="0.15">
      <c r="B474" s="86"/>
      <c r="C474" s="71"/>
      <c r="D474" s="23"/>
      <c r="E474" s="42" t="s">
        <v>20</v>
      </c>
      <c r="F474" s="228"/>
      <c r="G474" s="211"/>
      <c r="H474" s="211"/>
      <c r="I474" s="211"/>
      <c r="J474" s="42" t="s">
        <v>118</v>
      </c>
      <c r="K474" s="146">
        <f>ROUND(SUM(K471:K473),2)</f>
        <v>230</v>
      </c>
      <c r="L474" s="42">
        <v>17.2</v>
      </c>
      <c r="M474" s="160">
        <f>ROUND(PRODUCT(K474:L474),2)</f>
        <v>3956</v>
      </c>
      <c r="N474" s="144"/>
      <c r="O474" s="42">
        <v>0.25</v>
      </c>
      <c r="P474" s="42">
        <f>+O474*K474</f>
        <v>57.5</v>
      </c>
      <c r="Q474" s="68"/>
    </row>
    <row r="475" spans="2:18" s="70" customFormat="1" ht="10.5" customHeight="1" x14ac:dyDescent="0.15">
      <c r="B475" s="86"/>
      <c r="C475" s="71"/>
      <c r="D475" s="23"/>
      <c r="E475" s="23"/>
      <c r="F475" s="228"/>
      <c r="G475" s="211"/>
      <c r="H475" s="211"/>
      <c r="I475" s="211"/>
      <c r="J475" s="42"/>
      <c r="K475" s="144"/>
      <c r="L475" s="42"/>
      <c r="M475" s="160"/>
      <c r="N475" s="144"/>
      <c r="O475" s="42"/>
      <c r="P475" s="42"/>
      <c r="Q475" s="68"/>
    </row>
    <row r="476" spans="2:18" s="70" customFormat="1" ht="31.5" x14ac:dyDescent="0.15">
      <c r="B476" s="86">
        <v>59</v>
      </c>
      <c r="C476" s="71"/>
      <c r="D476" s="23" t="s">
        <v>238</v>
      </c>
      <c r="E476" s="23" t="s">
        <v>239</v>
      </c>
      <c r="F476" s="228"/>
      <c r="G476" s="211"/>
      <c r="H476" s="211"/>
      <c r="I476" s="211"/>
      <c r="J476" s="42"/>
      <c r="K476" s="144"/>
      <c r="L476" s="42"/>
      <c r="M476" s="160"/>
      <c r="N476" s="144"/>
      <c r="O476" s="42"/>
      <c r="P476" s="42"/>
      <c r="Q476" s="68"/>
    </row>
    <row r="477" spans="2:18" s="70" customFormat="1" ht="12.75" customHeight="1" x14ac:dyDescent="0.15">
      <c r="B477" s="86"/>
      <c r="C477" s="71"/>
      <c r="D477" s="23"/>
      <c r="E477" s="23" t="s">
        <v>17</v>
      </c>
      <c r="F477" s="228"/>
      <c r="G477" s="211"/>
      <c r="H477" s="211"/>
      <c r="I477" s="211"/>
      <c r="J477" s="42"/>
      <c r="K477" s="144"/>
      <c r="L477" s="42"/>
      <c r="M477" s="160"/>
      <c r="N477" s="144"/>
      <c r="O477" s="42"/>
      <c r="P477" s="42"/>
      <c r="Q477" s="68"/>
    </row>
    <row r="478" spans="2:18" s="70" customFormat="1" x14ac:dyDescent="0.15">
      <c r="B478" s="88"/>
      <c r="C478" s="71"/>
      <c r="D478" s="23"/>
      <c r="E478" s="23" t="s">
        <v>235</v>
      </c>
      <c r="F478" s="228">
        <v>8</v>
      </c>
      <c r="G478" s="211"/>
      <c r="H478" s="211"/>
      <c r="I478" s="211"/>
      <c r="J478" s="44"/>
      <c r="K478" s="146">
        <f>ROUND(PRODUCT(F478:I478),2)</f>
        <v>8</v>
      </c>
      <c r="L478" s="69"/>
      <c r="M478" s="160"/>
      <c r="N478" s="145"/>
      <c r="O478" s="24"/>
      <c r="P478" s="42">
        <f t="shared" ref="P478" si="60">O478*K478</f>
        <v>0</v>
      </c>
      <c r="Q478" s="68"/>
    </row>
    <row r="479" spans="2:18" s="70" customFormat="1" x14ac:dyDescent="0.15">
      <c r="B479" s="88"/>
      <c r="C479" s="71"/>
      <c r="D479" s="23"/>
      <c r="E479" s="23"/>
      <c r="F479" s="228"/>
      <c r="G479" s="211"/>
      <c r="H479" s="211"/>
      <c r="I479" s="211"/>
      <c r="J479" s="44"/>
      <c r="K479" s="146"/>
      <c r="L479" s="69"/>
      <c r="M479" s="160"/>
      <c r="N479" s="145"/>
      <c r="O479" s="24"/>
      <c r="P479" s="42"/>
      <c r="Q479" s="68"/>
    </row>
    <row r="480" spans="2:18" s="70" customFormat="1" ht="10.5" customHeight="1" x14ac:dyDescent="0.15">
      <c r="B480" s="86"/>
      <c r="C480" s="71"/>
      <c r="D480" s="23"/>
      <c r="E480" s="42" t="s">
        <v>21</v>
      </c>
      <c r="F480" s="228"/>
      <c r="G480" s="211"/>
      <c r="H480" s="211"/>
      <c r="I480" s="211"/>
      <c r="J480" s="42" t="s">
        <v>123</v>
      </c>
      <c r="K480" s="146">
        <f>ROUND(SUM(K477:K479),2)</f>
        <v>8</v>
      </c>
      <c r="L480" s="42">
        <v>129.88999999999999</v>
      </c>
      <c r="M480" s="160">
        <f>ROUND(PRODUCT(K480:L480),2)</f>
        <v>1039.1199999999999</v>
      </c>
      <c r="N480" s="144"/>
      <c r="O480" s="42">
        <v>1.87</v>
      </c>
      <c r="P480" s="42">
        <f>+O480*K480</f>
        <v>14.96</v>
      </c>
      <c r="Q480" s="68"/>
      <c r="R480" s="137"/>
    </row>
    <row r="481" spans="2:18" s="70" customFormat="1" ht="10.5" customHeight="1" x14ac:dyDescent="0.15">
      <c r="B481" s="86"/>
      <c r="C481" s="71"/>
      <c r="D481" s="23"/>
      <c r="E481" s="23"/>
      <c r="F481" s="233"/>
      <c r="G481" s="211"/>
      <c r="H481" s="211"/>
      <c r="I481" s="211"/>
      <c r="J481" s="42"/>
      <c r="K481" s="144"/>
      <c r="L481" s="42"/>
      <c r="M481" s="160"/>
      <c r="N481" s="144"/>
      <c r="O481" s="42"/>
      <c r="P481" s="42"/>
      <c r="Q481" s="68"/>
      <c r="R481" s="137"/>
    </row>
    <row r="482" spans="2:18" s="70" customFormat="1" ht="31.5" x14ac:dyDescent="0.15">
      <c r="B482" s="86">
        <v>60</v>
      </c>
      <c r="C482" s="71"/>
      <c r="D482" s="23" t="s">
        <v>240</v>
      </c>
      <c r="E482" s="23" t="s">
        <v>241</v>
      </c>
      <c r="F482" s="233"/>
      <c r="G482" s="211"/>
      <c r="H482" s="211"/>
      <c r="I482" s="211"/>
      <c r="J482" s="42"/>
      <c r="K482" s="144"/>
      <c r="L482" s="42"/>
      <c r="M482" s="160"/>
      <c r="N482" s="144"/>
      <c r="O482" s="42"/>
      <c r="P482" s="42"/>
      <c r="Q482" s="68"/>
      <c r="R482" s="137"/>
    </row>
    <row r="483" spans="2:18" s="70" customFormat="1" ht="12.75" customHeight="1" x14ac:dyDescent="0.15">
      <c r="B483" s="86"/>
      <c r="C483" s="71"/>
      <c r="D483" s="23"/>
      <c r="E483" s="23" t="s">
        <v>17</v>
      </c>
      <c r="F483" s="228"/>
      <c r="G483" s="211"/>
      <c r="H483" s="211"/>
      <c r="I483" s="211"/>
      <c r="J483" s="42"/>
      <c r="K483" s="144"/>
      <c r="L483" s="42"/>
      <c r="M483" s="160"/>
      <c r="N483" s="144"/>
      <c r="O483" s="42"/>
      <c r="P483" s="42"/>
      <c r="Q483" s="68"/>
      <c r="R483" s="137"/>
    </row>
    <row r="484" spans="2:18" s="70" customFormat="1" x14ac:dyDescent="0.15">
      <c r="B484" s="88"/>
      <c r="C484" s="71"/>
      <c r="D484" s="23"/>
      <c r="E484" s="23" t="s">
        <v>235</v>
      </c>
      <c r="F484" s="228">
        <v>8</v>
      </c>
      <c r="G484" s="211"/>
      <c r="H484" s="211"/>
      <c r="I484" s="211"/>
      <c r="J484" s="44"/>
      <c r="K484" s="146">
        <f>ROUND(PRODUCT(F484:I484),2)</f>
        <v>8</v>
      </c>
      <c r="L484" s="69"/>
      <c r="M484" s="160"/>
      <c r="N484" s="145"/>
      <c r="O484" s="24"/>
      <c r="P484" s="42">
        <f t="shared" ref="P484" si="61">O484*K484</f>
        <v>0</v>
      </c>
      <c r="Q484" s="68"/>
    </row>
    <row r="485" spans="2:18" s="70" customFormat="1" x14ac:dyDescent="0.15">
      <c r="B485" s="88"/>
      <c r="C485" s="71"/>
      <c r="D485" s="23"/>
      <c r="E485" s="23"/>
      <c r="F485" s="228"/>
      <c r="G485" s="211"/>
      <c r="H485" s="211"/>
      <c r="I485" s="211"/>
      <c r="J485" s="44"/>
      <c r="K485" s="146"/>
      <c r="L485" s="69"/>
      <c r="M485" s="160"/>
      <c r="N485" s="145"/>
      <c r="O485" s="24"/>
      <c r="P485" s="42"/>
      <c r="Q485" s="68"/>
    </row>
    <row r="486" spans="2:18" s="70" customFormat="1" ht="10.5" customHeight="1" x14ac:dyDescent="0.15">
      <c r="B486" s="88"/>
      <c r="C486" s="71"/>
      <c r="D486" s="23"/>
      <c r="E486" s="42" t="s">
        <v>21</v>
      </c>
      <c r="F486" s="228"/>
      <c r="G486" s="211"/>
      <c r="H486" s="211"/>
      <c r="I486" s="211"/>
      <c r="J486" s="42" t="s">
        <v>123</v>
      </c>
      <c r="K486" s="146">
        <f>ROUND(SUM(K483:K485),2)</f>
        <v>8</v>
      </c>
      <c r="L486" s="42">
        <v>97.05</v>
      </c>
      <c r="M486" s="160">
        <f>ROUND(PRODUCT(K486:L486),2)</f>
        <v>776.4</v>
      </c>
      <c r="N486" s="144"/>
      <c r="O486" s="42">
        <v>1.4</v>
      </c>
      <c r="P486" s="42">
        <f>+O486*K486</f>
        <v>11.2</v>
      </c>
      <c r="Q486" s="68"/>
      <c r="R486" s="137"/>
    </row>
    <row r="487" spans="2:18" s="70" customFormat="1" ht="10.5" customHeight="1" x14ac:dyDescent="0.15">
      <c r="B487" s="86"/>
      <c r="C487" s="71"/>
      <c r="D487" s="23"/>
      <c r="E487" s="23"/>
      <c r="F487" s="233"/>
      <c r="G487" s="211"/>
      <c r="H487" s="211"/>
      <c r="I487" s="211"/>
      <c r="J487" s="42"/>
      <c r="K487" s="144"/>
      <c r="L487" s="42"/>
      <c r="M487" s="160"/>
      <c r="N487" s="144"/>
      <c r="O487" s="42"/>
      <c r="P487" s="42"/>
      <c r="Q487" s="68"/>
      <c r="R487" s="137"/>
    </row>
    <row r="488" spans="2:18" s="70" customFormat="1" ht="63" x14ac:dyDescent="0.15">
      <c r="B488" s="86">
        <v>61</v>
      </c>
      <c r="C488" s="71"/>
      <c r="D488" s="23" t="s">
        <v>242</v>
      </c>
      <c r="E488" s="23" t="s">
        <v>243</v>
      </c>
      <c r="F488" s="233"/>
      <c r="G488" s="211"/>
      <c r="H488" s="211"/>
      <c r="I488" s="211"/>
      <c r="J488" s="42"/>
      <c r="K488" s="144"/>
      <c r="L488" s="42"/>
      <c r="M488" s="160"/>
      <c r="N488" s="144"/>
      <c r="O488" s="42"/>
      <c r="P488" s="42"/>
      <c r="Q488" s="68"/>
      <c r="R488" s="137"/>
    </row>
    <row r="489" spans="2:18" s="70" customFormat="1" ht="12.75" customHeight="1" x14ac:dyDescent="0.15">
      <c r="B489" s="86"/>
      <c r="C489" s="71"/>
      <c r="D489" s="23"/>
      <c r="E489" s="23" t="s">
        <v>17</v>
      </c>
      <c r="F489" s="228"/>
      <c r="G489" s="211"/>
      <c r="H489" s="211"/>
      <c r="I489" s="211"/>
      <c r="J489" s="42"/>
      <c r="K489" s="144"/>
      <c r="L489" s="42"/>
      <c r="M489" s="160"/>
      <c r="N489" s="144"/>
      <c r="O489" s="42"/>
      <c r="P489" s="42"/>
      <c r="Q489" s="68"/>
      <c r="R489" s="137"/>
    </row>
    <row r="490" spans="2:18" s="70" customFormat="1" x14ac:dyDescent="0.15">
      <c r="B490" s="88"/>
      <c r="C490" s="71"/>
      <c r="D490" s="23"/>
      <c r="E490" s="23" t="s">
        <v>235</v>
      </c>
      <c r="F490" s="228">
        <v>15</v>
      </c>
      <c r="G490" s="211"/>
      <c r="H490" s="211"/>
      <c r="I490" s="211"/>
      <c r="J490" s="44"/>
      <c r="K490" s="146">
        <f>ROUND(PRODUCT(F490:I490),2)</f>
        <v>15</v>
      </c>
      <c r="L490" s="69"/>
      <c r="M490" s="160"/>
      <c r="N490" s="145"/>
      <c r="O490" s="24"/>
      <c r="P490" s="42">
        <f t="shared" ref="P490" si="62">O490*K490</f>
        <v>0</v>
      </c>
      <c r="Q490" s="68"/>
    </row>
    <row r="491" spans="2:18" s="70" customFormat="1" x14ac:dyDescent="0.15">
      <c r="B491" s="88"/>
      <c r="C491" s="71"/>
      <c r="D491" s="23"/>
      <c r="E491" s="23"/>
      <c r="F491" s="228"/>
      <c r="G491" s="211"/>
      <c r="H491" s="211"/>
      <c r="I491" s="211"/>
      <c r="J491" s="44"/>
      <c r="K491" s="146"/>
      <c r="L491" s="69"/>
      <c r="M491" s="160"/>
      <c r="N491" s="145"/>
      <c r="O491" s="24"/>
      <c r="P491" s="42"/>
      <c r="Q491" s="68"/>
    </row>
    <row r="492" spans="2:18" s="70" customFormat="1" ht="10.5" customHeight="1" x14ac:dyDescent="0.15">
      <c r="B492" s="88"/>
      <c r="C492" s="71"/>
      <c r="D492" s="23"/>
      <c r="E492" s="42" t="s">
        <v>21</v>
      </c>
      <c r="F492" s="228"/>
      <c r="G492" s="211"/>
      <c r="H492" s="211"/>
      <c r="I492" s="211"/>
      <c r="J492" s="42" t="s">
        <v>123</v>
      </c>
      <c r="K492" s="146">
        <f>ROUND(SUM(K489:K491),2)</f>
        <v>15</v>
      </c>
      <c r="L492" s="42">
        <v>28.3</v>
      </c>
      <c r="M492" s="160">
        <f>ROUND(PRODUCT(K492:L492),2)</f>
        <v>424.5</v>
      </c>
      <c r="N492" s="144"/>
      <c r="O492" s="42">
        <v>3.94</v>
      </c>
      <c r="P492" s="42">
        <f>+O492*K492</f>
        <v>59.1</v>
      </c>
      <c r="Q492" s="68"/>
      <c r="R492" s="137"/>
    </row>
    <row r="493" spans="2:18" s="70" customFormat="1" ht="10.5" customHeight="1" x14ac:dyDescent="0.15">
      <c r="B493" s="86"/>
      <c r="C493" s="71"/>
      <c r="D493" s="23"/>
      <c r="E493" s="23"/>
      <c r="F493" s="228"/>
      <c r="G493" s="211"/>
      <c r="H493" s="211"/>
      <c r="I493" s="211"/>
      <c r="J493" s="42"/>
      <c r="K493" s="144"/>
      <c r="L493" s="42"/>
      <c r="M493" s="160"/>
      <c r="N493" s="144"/>
      <c r="O493" s="42"/>
      <c r="P493" s="42"/>
      <c r="Q493" s="68"/>
    </row>
    <row r="494" spans="2:18" s="70" customFormat="1" ht="10.5" customHeight="1" x14ac:dyDescent="0.15">
      <c r="B494" s="88"/>
      <c r="C494" s="71"/>
      <c r="D494" s="23"/>
      <c r="E494" s="23"/>
      <c r="F494" s="233"/>
      <c r="G494" s="211"/>
      <c r="H494" s="211"/>
      <c r="I494" s="211"/>
      <c r="J494" s="42"/>
      <c r="K494" s="144"/>
      <c r="L494" s="42"/>
      <c r="M494" s="160"/>
      <c r="N494" s="144"/>
      <c r="O494" s="42"/>
      <c r="P494" s="42"/>
      <c r="Q494" s="68"/>
      <c r="R494" s="137"/>
    </row>
    <row r="495" spans="2:18" s="70" customFormat="1" ht="45.75" customHeight="1" x14ac:dyDescent="0.15">
      <c r="B495" s="88">
        <v>62</v>
      </c>
      <c r="C495" s="71"/>
      <c r="D495" s="23" t="s">
        <v>129</v>
      </c>
      <c r="E495" s="23" t="s">
        <v>130</v>
      </c>
      <c r="F495" s="233"/>
      <c r="G495" s="211"/>
      <c r="H495" s="211"/>
      <c r="I495" s="211"/>
      <c r="J495" s="42"/>
      <c r="K495" s="144"/>
      <c r="L495" s="42"/>
      <c r="M495" s="160"/>
      <c r="N495" s="144"/>
      <c r="O495" s="42"/>
      <c r="P495" s="42"/>
      <c r="Q495" s="68"/>
      <c r="R495" s="137"/>
    </row>
    <row r="496" spans="2:18" s="70" customFormat="1" ht="12.75" customHeight="1" x14ac:dyDescent="0.15">
      <c r="B496" s="88"/>
      <c r="C496" s="71"/>
      <c r="D496" s="23"/>
      <c r="E496" s="23" t="s">
        <v>17</v>
      </c>
      <c r="F496" s="228"/>
      <c r="G496" s="211"/>
      <c r="H496" s="211"/>
      <c r="I496" s="211"/>
      <c r="J496" s="42"/>
      <c r="K496" s="144"/>
      <c r="L496" s="42"/>
      <c r="M496" s="160"/>
      <c r="N496" s="144"/>
      <c r="O496" s="42"/>
      <c r="P496" s="42"/>
      <c r="Q496" s="68"/>
      <c r="R496" s="137"/>
    </row>
    <row r="497" spans="2:18" s="70" customFormat="1" x14ac:dyDescent="0.15">
      <c r="B497" s="88"/>
      <c r="C497" s="71"/>
      <c r="D497" s="23"/>
      <c r="E497" s="23" t="s">
        <v>216</v>
      </c>
      <c r="F497" s="228">
        <v>-45</v>
      </c>
      <c r="G497" s="211"/>
      <c r="H497" s="211"/>
      <c r="I497" s="211"/>
      <c r="J497" s="44"/>
      <c r="K497" s="146">
        <f>ROUND(PRODUCT(F497:I497),2)</f>
        <v>-45</v>
      </c>
      <c r="L497" s="69"/>
      <c r="M497" s="160"/>
      <c r="N497" s="145"/>
      <c r="O497" s="24"/>
      <c r="P497" s="42">
        <f t="shared" ref="P497:P498" si="63">O497*K497</f>
        <v>0</v>
      </c>
      <c r="Q497" s="68"/>
    </row>
    <row r="498" spans="2:18" s="70" customFormat="1" x14ac:dyDescent="0.15">
      <c r="B498" s="88"/>
      <c r="C498" s="71"/>
      <c r="D498" s="23"/>
      <c r="E498" s="23" t="s">
        <v>217</v>
      </c>
      <c r="F498" s="228">
        <v>150</v>
      </c>
      <c r="G498" s="211"/>
      <c r="H498" s="211"/>
      <c r="I498" s="211"/>
      <c r="J498" s="44"/>
      <c r="K498" s="146">
        <f>ROUND(PRODUCT(F498:I498),2)</f>
        <v>150</v>
      </c>
      <c r="L498" s="69"/>
      <c r="M498" s="160"/>
      <c r="N498" s="145"/>
      <c r="O498" s="24"/>
      <c r="P498" s="42">
        <f t="shared" si="63"/>
        <v>0</v>
      </c>
      <c r="Q498" s="68"/>
    </row>
    <row r="499" spans="2:18" s="70" customFormat="1" x14ac:dyDescent="0.15">
      <c r="B499" s="88"/>
      <c r="C499" s="71"/>
      <c r="D499" s="23"/>
      <c r="E499" s="23"/>
      <c r="F499" s="228"/>
      <c r="G499" s="211"/>
      <c r="H499" s="211"/>
      <c r="I499" s="211"/>
      <c r="J499" s="44"/>
      <c r="K499" s="146"/>
      <c r="L499" s="69"/>
      <c r="M499" s="160"/>
      <c r="N499" s="145"/>
      <c r="O499" s="24"/>
      <c r="P499" s="42"/>
      <c r="Q499" s="68"/>
    </row>
    <row r="500" spans="2:18" s="70" customFormat="1" ht="10.5" customHeight="1" x14ac:dyDescent="0.15">
      <c r="B500" s="88"/>
      <c r="C500" s="71"/>
      <c r="D500" s="23"/>
      <c r="E500" s="42" t="s">
        <v>28</v>
      </c>
      <c r="F500" s="228"/>
      <c r="G500" s="211"/>
      <c r="H500" s="211"/>
      <c r="I500" s="211"/>
      <c r="J500" s="42" t="s">
        <v>121</v>
      </c>
      <c r="K500" s="146">
        <f>ROUND(SUM(K497:K499),2)</f>
        <v>105</v>
      </c>
      <c r="L500" s="42">
        <v>14.03</v>
      </c>
      <c r="M500" s="160">
        <f>ROUND(PRODUCT(K500:L500),2)</f>
        <v>1473.15</v>
      </c>
      <c r="N500" s="144"/>
      <c r="O500" s="42">
        <v>0.5</v>
      </c>
      <c r="P500" s="42">
        <f>+O500*K500</f>
        <v>52.5</v>
      </c>
      <c r="Q500" s="68"/>
      <c r="R500" s="137"/>
    </row>
    <row r="501" spans="2:18" s="70" customFormat="1" ht="10.5" customHeight="1" x14ac:dyDescent="0.15">
      <c r="B501" s="88"/>
      <c r="C501" s="71"/>
      <c r="D501" s="23"/>
      <c r="E501" s="42"/>
      <c r="F501" s="228"/>
      <c r="G501" s="211"/>
      <c r="H501" s="211"/>
      <c r="I501" s="211"/>
      <c r="J501" s="42"/>
      <c r="K501" s="144"/>
      <c r="L501" s="42"/>
      <c r="M501" s="160"/>
      <c r="N501" s="144"/>
      <c r="O501" s="138"/>
      <c r="P501" s="42"/>
      <c r="Q501" s="68"/>
      <c r="R501" s="137"/>
    </row>
    <row r="502" spans="2:18" s="70" customFormat="1" ht="12.75" x14ac:dyDescent="0.15">
      <c r="B502" s="88"/>
      <c r="C502" s="129"/>
      <c r="D502" s="106"/>
      <c r="E502" s="38" t="str">
        <f>CONCATENATE("Totale fase ",E460)</f>
        <v>Totale fase Impianto Idrico Antincendio</v>
      </c>
      <c r="F502" s="231"/>
      <c r="G502" s="210"/>
      <c r="H502" s="210"/>
      <c r="I502" s="210"/>
      <c r="J502" s="107"/>
      <c r="K502" s="147"/>
      <c r="L502" s="108"/>
      <c r="M502" s="162"/>
      <c r="N502" s="175">
        <f>SUM(M462:M500)</f>
        <v>2838.37</v>
      </c>
      <c r="O502" s="139"/>
      <c r="P502" s="139"/>
      <c r="Q502" s="111">
        <f>SUM(P462:P500)</f>
        <v>125.06</v>
      </c>
      <c r="R502" s="137"/>
    </row>
    <row r="503" spans="2:18" s="70" customFormat="1" ht="11.25" thickBot="1" x14ac:dyDescent="0.2">
      <c r="B503" s="88"/>
      <c r="C503" s="102"/>
      <c r="D503" s="102"/>
      <c r="E503" s="103"/>
      <c r="F503" s="230"/>
      <c r="G503" s="213"/>
      <c r="H503" s="213"/>
      <c r="I503" s="213"/>
      <c r="J503" s="96"/>
      <c r="K503" s="146"/>
      <c r="L503" s="69"/>
      <c r="M503" s="165"/>
      <c r="N503" s="145"/>
      <c r="O503" s="118"/>
      <c r="P503" s="118"/>
      <c r="Q503" s="140"/>
    </row>
    <row r="504" spans="2:18" ht="12.75" thickTop="1" thickBot="1" x14ac:dyDescent="0.2">
      <c r="B504" s="90"/>
      <c r="C504" s="39"/>
      <c r="D504" s="40"/>
      <c r="E504" s="45" t="s">
        <v>16</v>
      </c>
      <c r="F504" s="234"/>
      <c r="G504" s="215"/>
      <c r="H504" s="215"/>
      <c r="I504" s="215"/>
      <c r="J504" s="46"/>
      <c r="K504" s="149"/>
      <c r="L504" s="47"/>
      <c r="M504" s="167"/>
      <c r="N504" s="178">
        <f>+ROUND(SUM(N33:N503),2)</f>
        <v>424508.87</v>
      </c>
      <c r="O504" s="76"/>
      <c r="P504" s="76"/>
      <c r="Q504" s="77">
        <f>ROUND(SUM(Q33:Q502),2)</f>
        <v>9313.3700000000008</v>
      </c>
    </row>
    <row r="505" spans="2:18" ht="12" thickTop="1" x14ac:dyDescent="0.15">
      <c r="B505" s="91"/>
      <c r="C505" s="13"/>
      <c r="D505" s="13"/>
      <c r="E505" s="13"/>
      <c r="F505" s="235"/>
      <c r="G505" s="216"/>
      <c r="H505" s="216"/>
      <c r="I505" s="216"/>
      <c r="J505" s="13"/>
      <c r="K505" s="150"/>
      <c r="L505" s="14"/>
      <c r="M505" s="168"/>
      <c r="N505" s="179"/>
      <c r="O505" s="78"/>
      <c r="P505" s="78"/>
      <c r="Q505" s="79"/>
    </row>
    <row r="506" spans="2:18" ht="12" thickBot="1" x14ac:dyDescent="0.2">
      <c r="B506" s="91"/>
      <c r="C506" s="10"/>
      <c r="D506" s="10"/>
      <c r="E506" s="17"/>
      <c r="F506" s="236"/>
      <c r="G506" s="217"/>
      <c r="H506" s="217"/>
      <c r="I506" s="217"/>
      <c r="J506" s="17"/>
      <c r="K506" s="151"/>
      <c r="L506" s="17"/>
      <c r="M506" s="169"/>
      <c r="N506" s="151"/>
      <c r="O506" s="80"/>
      <c r="P506" s="80"/>
      <c r="Q506" s="81"/>
    </row>
    <row r="507" spans="2:18" ht="12" thickTop="1" x14ac:dyDescent="0.15">
      <c r="B507" s="91"/>
      <c r="C507" s="10"/>
      <c r="D507" s="10"/>
      <c r="E507" s="48" t="s">
        <v>62</v>
      </c>
      <c r="F507" s="237"/>
      <c r="G507" s="218"/>
      <c r="H507" s="218"/>
      <c r="I507" s="218"/>
      <c r="J507" s="50"/>
      <c r="K507" s="152"/>
      <c r="L507" s="49"/>
      <c r="M507" s="170" t="s">
        <v>63</v>
      </c>
      <c r="N507" s="180">
        <f>N504</f>
        <v>424508.87</v>
      </c>
      <c r="O507" s="80"/>
      <c r="P507" s="80"/>
      <c r="Q507" s="81"/>
    </row>
    <row r="508" spans="2:18" ht="11.25" x14ac:dyDescent="0.15">
      <c r="B508" s="91"/>
      <c r="C508" s="10"/>
      <c r="D508" s="10"/>
      <c r="E508" s="51" t="s">
        <v>60</v>
      </c>
      <c r="F508" s="238"/>
      <c r="G508" s="219"/>
      <c r="H508" s="219"/>
      <c r="I508" s="219"/>
      <c r="J508" s="53"/>
      <c r="K508" s="153"/>
      <c r="L508" s="52"/>
      <c r="M508" s="171" t="s">
        <v>63</v>
      </c>
      <c r="N508" s="181">
        <f>Q504</f>
        <v>9313.3700000000008</v>
      </c>
      <c r="O508" s="80"/>
      <c r="P508" s="80"/>
      <c r="Q508" s="81"/>
    </row>
    <row r="509" spans="2:18" ht="12" thickBot="1" x14ac:dyDescent="0.2">
      <c r="B509" s="91"/>
      <c r="C509" s="10"/>
      <c r="D509" s="10"/>
      <c r="E509" s="54" t="s">
        <v>61</v>
      </c>
      <c r="F509" s="239"/>
      <c r="G509" s="220"/>
      <c r="H509" s="220"/>
      <c r="I509" s="220"/>
      <c r="J509" s="56"/>
      <c r="K509" s="154"/>
      <c r="L509" s="55"/>
      <c r="M509" s="172" t="s">
        <v>63</v>
      </c>
      <c r="N509" s="182">
        <f>N507+N508</f>
        <v>433822.24</v>
      </c>
      <c r="O509" s="80"/>
      <c r="P509" s="80"/>
      <c r="Q509" s="81"/>
    </row>
    <row r="510" spans="2:18" ht="11.25" thickTop="1" x14ac:dyDescent="0.15">
      <c r="B510" s="91"/>
      <c r="C510" s="10"/>
      <c r="D510" s="10"/>
      <c r="E510" s="84"/>
      <c r="F510" s="240"/>
      <c r="G510" s="221"/>
      <c r="H510" s="221"/>
      <c r="I510" s="221"/>
      <c r="J510" s="11"/>
      <c r="K510" s="155"/>
      <c r="L510" s="12"/>
      <c r="N510" s="183"/>
      <c r="O510" s="19"/>
      <c r="P510" s="18"/>
      <c r="Q510" s="58"/>
    </row>
    <row r="511" spans="2:18" ht="12" thickBot="1" x14ac:dyDescent="0.2">
      <c r="B511" s="91"/>
      <c r="C511" s="10"/>
      <c r="D511" s="10"/>
      <c r="E511" s="83" t="s">
        <v>244</v>
      </c>
      <c r="F511" s="239"/>
      <c r="G511" s="220"/>
      <c r="H511" s="220"/>
      <c r="I511" s="220"/>
      <c r="J511" s="56"/>
      <c r="K511" s="154"/>
      <c r="L511" s="55"/>
      <c r="M511" s="172" t="s">
        <v>63</v>
      </c>
      <c r="N511" s="182">
        <f>N507*(1-0.50999)+N508</f>
        <v>217326.96138869997</v>
      </c>
      <c r="O511" s="15"/>
      <c r="P511" s="16"/>
      <c r="Q511" s="64"/>
    </row>
    <row r="512" spans="2:18" ht="10.5" customHeight="1" thickTop="1" x14ac:dyDescent="0.15">
      <c r="B512" s="92"/>
      <c r="C512" s="8"/>
      <c r="D512" s="7"/>
      <c r="E512" s="242"/>
      <c r="F512" s="242"/>
      <c r="G512" s="242"/>
      <c r="H512" s="242"/>
      <c r="I512" s="242"/>
      <c r="J512" s="242"/>
      <c r="K512" s="242"/>
      <c r="L512" s="242"/>
      <c r="M512" s="242"/>
      <c r="N512" s="242"/>
      <c r="O512" s="9"/>
      <c r="P512" s="7"/>
      <c r="Q512" s="65"/>
    </row>
    <row r="513" spans="2:15" x14ac:dyDescent="0.15">
      <c r="B513" s="92"/>
      <c r="C513" s="8"/>
      <c r="E513" s="242"/>
      <c r="F513" s="242"/>
      <c r="G513" s="242"/>
      <c r="H513" s="242"/>
      <c r="I513" s="242"/>
      <c r="J513" s="242"/>
      <c r="K513" s="242"/>
      <c r="L513" s="242"/>
      <c r="M513" s="242"/>
      <c r="N513" s="242"/>
      <c r="O513" s="2"/>
    </row>
    <row r="514" spans="2:15" x14ac:dyDescent="0.15">
      <c r="E514" s="242"/>
      <c r="F514" s="242"/>
      <c r="G514" s="242"/>
      <c r="H514" s="242"/>
      <c r="I514" s="242"/>
      <c r="J514" s="242"/>
      <c r="K514" s="242"/>
      <c r="L514" s="242"/>
      <c r="M514" s="242"/>
      <c r="N514" s="242"/>
      <c r="O514" s="2"/>
    </row>
  </sheetData>
  <mergeCells count="4">
    <mergeCell ref="E512:N514"/>
    <mergeCell ref="E49:E50"/>
    <mergeCell ref="B1:E1"/>
    <mergeCell ref="B235:B237"/>
  </mergeCells>
  <phoneticPr fontId="0" type="noConversion"/>
  <conditionalFormatting sqref="E630:E64808">
    <cfRule type="expression" dxfId="406" priority="791" stopIfTrue="1">
      <formula>#REF!="1"</formula>
    </cfRule>
    <cfRule type="expression" dxfId="405" priority="792" stopIfTrue="1">
      <formula>#REF!="2"</formula>
    </cfRule>
    <cfRule type="expression" dxfId="404" priority="793" stopIfTrue="1">
      <formula>#REF!="3"</formula>
    </cfRule>
  </conditionalFormatting>
  <conditionalFormatting sqref="F630:J64808">
    <cfRule type="expression" dxfId="403" priority="794" stopIfTrue="1">
      <formula>#REF!="3"</formula>
    </cfRule>
  </conditionalFormatting>
  <conditionalFormatting sqref="K630:K64808">
    <cfRule type="expression" dxfId="402" priority="795" stopIfTrue="1">
      <formula>#REF!="1"</formula>
    </cfRule>
    <cfRule type="expression" dxfId="401" priority="796" stopIfTrue="1">
      <formula>#REF!="3"</formula>
    </cfRule>
    <cfRule type="expression" dxfId="400" priority="797" stopIfTrue="1">
      <formula>_OIP1="3"</formula>
    </cfRule>
  </conditionalFormatting>
  <conditionalFormatting sqref="E2">
    <cfRule type="expression" dxfId="399" priority="798" stopIfTrue="1">
      <formula>#REF!="1"</formula>
    </cfRule>
    <cfRule type="expression" dxfId="398" priority="799" stopIfTrue="1">
      <formula>#REF!="2"</formula>
    </cfRule>
    <cfRule type="expression" dxfId="397" priority="800" stopIfTrue="1">
      <formula>#REF!="3"</formula>
    </cfRule>
  </conditionalFormatting>
  <conditionalFormatting sqref="E233 E3:E6">
    <cfRule type="expression" dxfId="396" priority="801" stopIfTrue="1">
      <formula>#REF!="1"</formula>
    </cfRule>
    <cfRule type="expression" dxfId="395" priority="802" stopIfTrue="1">
      <formula>#REF!="2"</formula>
    </cfRule>
    <cfRule type="expression" dxfId="394" priority="803" stopIfTrue="1">
      <formula>#REF!="3"</formula>
    </cfRule>
  </conditionalFormatting>
  <conditionalFormatting sqref="F2:J2 H3:J4">
    <cfRule type="expression" dxfId="393" priority="804" stopIfTrue="1">
      <formula>#REF!="3"</formula>
    </cfRule>
  </conditionalFormatting>
  <conditionalFormatting sqref="F3:G4">
    <cfRule type="expression" dxfId="392" priority="806" stopIfTrue="1">
      <formula>#REF!="3"</formula>
    </cfRule>
  </conditionalFormatting>
  <conditionalFormatting sqref="K2:Q2">
    <cfRule type="expression" dxfId="391" priority="807" stopIfTrue="1">
      <formula>#REF!="1"</formula>
    </cfRule>
    <cfRule type="expression" dxfId="390" priority="808" stopIfTrue="1">
      <formula>#REF!="3"</formula>
    </cfRule>
    <cfRule type="expression" dxfId="389" priority="809" stopIfTrue="1">
      <formula>_OIP1="3"</formula>
    </cfRule>
  </conditionalFormatting>
  <conditionalFormatting sqref="J4 K3:O4 P3:Q3">
    <cfRule type="expression" dxfId="388" priority="810" stopIfTrue="1">
      <formula>#REF!="1"</formula>
    </cfRule>
    <cfRule type="expression" dxfId="387" priority="811" stopIfTrue="1">
      <formula>#REF!="3"</formula>
    </cfRule>
    <cfRule type="expression" dxfId="386" priority="812" stopIfTrue="1">
      <formula>_OIP1="3"</formula>
    </cfRule>
  </conditionalFormatting>
  <conditionalFormatting sqref="M4 M23:M25 M9:M10">
    <cfRule type="expression" dxfId="385" priority="824" stopIfTrue="1">
      <formula>K4&lt;0</formula>
    </cfRule>
  </conditionalFormatting>
  <conditionalFormatting sqref="O503:Q503">
    <cfRule type="expression" dxfId="384" priority="763">
      <formula>S503="3"</formula>
    </cfRule>
  </conditionalFormatting>
  <conditionalFormatting sqref="E23:E25 E9:E10">
    <cfRule type="expression" dxfId="383" priority="533" stopIfTrue="1">
      <formula>N9="1"</formula>
    </cfRule>
    <cfRule type="expression" dxfId="382" priority="534" stopIfTrue="1">
      <formula>N9="2"</formula>
    </cfRule>
    <cfRule type="expression" dxfId="381" priority="535" stopIfTrue="1">
      <formula>K9&lt;0</formula>
    </cfRule>
  </conditionalFormatting>
  <conditionalFormatting sqref="F23:F25 F9:F10">
    <cfRule type="expression" dxfId="380" priority="532" stopIfTrue="1">
      <formula>K9&lt;0</formula>
    </cfRule>
  </conditionalFormatting>
  <conditionalFormatting sqref="G23:G24 G9:G10">
    <cfRule type="expression" dxfId="379" priority="531" stopIfTrue="1">
      <formula>K9&lt;0</formula>
    </cfRule>
  </conditionalFormatting>
  <conditionalFormatting sqref="H23:H24 H9:H10">
    <cfRule type="expression" dxfId="378" priority="530" stopIfTrue="1">
      <formula>K9&lt;0</formula>
    </cfRule>
  </conditionalFormatting>
  <conditionalFormatting sqref="I23:J24 I9:J10 J25">
    <cfRule type="expression" dxfId="377" priority="529" stopIfTrue="1">
      <formula>K9&lt;0</formula>
    </cfRule>
  </conditionalFormatting>
  <conditionalFormatting sqref="K23:K25 K198 K201 K61:K62 K67 K9:K10 K71:K72 K76 K220 K117 K153">
    <cfRule type="expression" dxfId="376" priority="526" stopIfTrue="1">
      <formula>P9="1"</formula>
    </cfRule>
    <cfRule type="expression" dxfId="375" priority="527" stopIfTrue="1">
      <formula>P9="3"</formula>
    </cfRule>
    <cfRule type="expression" dxfId="374" priority="528" stopIfTrue="1">
      <formula>K9&lt;0</formula>
    </cfRule>
  </conditionalFormatting>
  <conditionalFormatting sqref="L23:L25 L9:L10">
    <cfRule type="expression" dxfId="373" priority="525" stopIfTrue="1">
      <formula>K9&lt;0</formula>
    </cfRule>
  </conditionalFormatting>
  <conditionalFormatting sqref="K114">
    <cfRule type="expression" dxfId="372" priority="512" stopIfTrue="1">
      <formula>P114="1"</formula>
    </cfRule>
    <cfRule type="expression" dxfId="371" priority="513" stopIfTrue="1">
      <formula>P114="3"</formula>
    </cfRule>
    <cfRule type="expression" dxfId="370" priority="514" stopIfTrue="1">
      <formula>K114&lt;0</formula>
    </cfRule>
  </conditionalFormatting>
  <conditionalFormatting sqref="K109">
    <cfRule type="expression" dxfId="369" priority="509" stopIfTrue="1">
      <formula>P109="1"</formula>
    </cfRule>
    <cfRule type="expression" dxfId="368" priority="510" stopIfTrue="1">
      <formula>P109="3"</formula>
    </cfRule>
    <cfRule type="expression" dxfId="367" priority="511" stopIfTrue="1">
      <formula>K109&lt;0</formula>
    </cfRule>
  </conditionalFormatting>
  <conditionalFormatting sqref="K143">
    <cfRule type="expression" dxfId="366" priority="503" stopIfTrue="1">
      <formula>P143="1"</formula>
    </cfRule>
    <cfRule type="expression" dxfId="365" priority="504" stopIfTrue="1">
      <formula>P143="3"</formula>
    </cfRule>
    <cfRule type="expression" dxfId="364" priority="505" stopIfTrue="1">
      <formula>K143&lt;0</formula>
    </cfRule>
  </conditionalFormatting>
  <conditionalFormatting sqref="K156">
    <cfRule type="expression" dxfId="363" priority="500" stopIfTrue="1">
      <formula>P156="1"</formula>
    </cfRule>
    <cfRule type="expression" dxfId="362" priority="501" stopIfTrue="1">
      <formula>P156="3"</formula>
    </cfRule>
    <cfRule type="expression" dxfId="361" priority="502" stopIfTrue="1">
      <formula>K156&lt;0</formula>
    </cfRule>
  </conditionalFormatting>
  <conditionalFormatting sqref="K162">
    <cfRule type="expression" dxfId="360" priority="497" stopIfTrue="1">
      <formula>P162="1"</formula>
    </cfRule>
    <cfRule type="expression" dxfId="359" priority="498" stopIfTrue="1">
      <formula>P162="3"</formula>
    </cfRule>
    <cfRule type="expression" dxfId="358" priority="499" stopIfTrue="1">
      <formula>K162&lt;0</formula>
    </cfRule>
  </conditionalFormatting>
  <conditionalFormatting sqref="K186">
    <cfRule type="expression" dxfId="357" priority="491" stopIfTrue="1">
      <formula>P186="1"</formula>
    </cfRule>
    <cfRule type="expression" dxfId="356" priority="492" stopIfTrue="1">
      <formula>P186="3"</formula>
    </cfRule>
    <cfRule type="expression" dxfId="355" priority="493" stopIfTrue="1">
      <formula>K186&lt;0</formula>
    </cfRule>
  </conditionalFormatting>
  <conditionalFormatting sqref="E264">
    <cfRule type="expression" dxfId="354" priority="482" stopIfTrue="1">
      <formula>#REF!="1"</formula>
    </cfRule>
    <cfRule type="expression" dxfId="353" priority="483" stopIfTrue="1">
      <formula>#REF!="2"</formula>
    </cfRule>
    <cfRule type="expression" dxfId="352" priority="484" stopIfTrue="1">
      <formula>#REF!="3"</formula>
    </cfRule>
  </conditionalFormatting>
  <conditionalFormatting sqref="E453">
    <cfRule type="expression" dxfId="351" priority="479" stopIfTrue="1">
      <formula>#REF!="1"</formula>
    </cfRule>
    <cfRule type="expression" dxfId="350" priority="480" stopIfTrue="1">
      <formula>#REF!="2"</formula>
    </cfRule>
    <cfRule type="expression" dxfId="349" priority="481" stopIfTrue="1">
      <formula>#REF!="3"</formula>
    </cfRule>
  </conditionalFormatting>
  <conditionalFormatting sqref="O451">
    <cfRule type="expression" dxfId="348" priority="407">
      <formula>S451="3"</formula>
    </cfRule>
  </conditionalFormatting>
  <conditionalFormatting sqref="O451:Q451">
    <cfRule type="expression" dxfId="347" priority="406">
      <formula>S451="3"</formula>
    </cfRule>
  </conditionalFormatting>
  <conditionalFormatting sqref="O451:Q451">
    <cfRule type="expression" dxfId="346" priority="405">
      <formula>S451="3"</formula>
    </cfRule>
  </conditionalFormatting>
  <conditionalFormatting sqref="O451:Q451">
    <cfRule type="expression" dxfId="345" priority="404">
      <formula>S451="3"</formula>
    </cfRule>
  </conditionalFormatting>
  <conditionalFormatting sqref="O104:O105">
    <cfRule type="expression" dxfId="344" priority="474">
      <formula>S104="3"</formula>
    </cfRule>
  </conditionalFormatting>
  <conditionalFormatting sqref="O104:O105">
    <cfRule type="expression" dxfId="343" priority="473">
      <formula>S104="3"</formula>
    </cfRule>
  </conditionalFormatting>
  <conditionalFormatting sqref="O104:O105">
    <cfRule type="expression" dxfId="342" priority="472">
      <formula>S104="3"</formula>
    </cfRule>
  </conditionalFormatting>
  <conditionalFormatting sqref="O104:Q105">
    <cfRule type="expression" dxfId="341" priority="471">
      <formula>S104="3"</formula>
    </cfRule>
  </conditionalFormatting>
  <conditionalFormatting sqref="O104:Q105">
    <cfRule type="expression" dxfId="340" priority="470">
      <formula>S104="3"</formula>
    </cfRule>
  </conditionalFormatting>
  <conditionalFormatting sqref="O104:Q105">
    <cfRule type="expression" dxfId="339" priority="469">
      <formula>S104="3"</formula>
    </cfRule>
  </conditionalFormatting>
  <conditionalFormatting sqref="O451">
    <cfRule type="expression" dxfId="338" priority="408">
      <formula>S451="3"</formula>
    </cfRule>
  </conditionalFormatting>
  <conditionalFormatting sqref="O458:O459">
    <cfRule type="expression" dxfId="337" priority="403">
      <formula>S458="3"</formula>
    </cfRule>
  </conditionalFormatting>
  <conditionalFormatting sqref="O458:O459">
    <cfRule type="expression" dxfId="336" priority="402">
      <formula>S458="3"</formula>
    </cfRule>
  </conditionalFormatting>
  <conditionalFormatting sqref="O458:O459">
    <cfRule type="expression" dxfId="335" priority="401">
      <formula>S458="3"</formula>
    </cfRule>
  </conditionalFormatting>
  <conditionalFormatting sqref="O458:Q459">
    <cfRule type="expression" dxfId="334" priority="400">
      <formula>S458="3"</formula>
    </cfRule>
  </conditionalFormatting>
  <conditionalFormatting sqref="O458:Q459">
    <cfRule type="expression" dxfId="333" priority="399">
      <formula>S458="3"</formula>
    </cfRule>
  </conditionalFormatting>
  <conditionalFormatting sqref="O458:Q459">
    <cfRule type="expression" dxfId="332" priority="398">
      <formula>S458="3"</formula>
    </cfRule>
  </conditionalFormatting>
  <conditionalFormatting sqref="O181">
    <cfRule type="expression" dxfId="331" priority="457">
      <formula>S181="3"</formula>
    </cfRule>
  </conditionalFormatting>
  <conditionalFormatting sqref="O181">
    <cfRule type="expression" dxfId="330" priority="456">
      <formula>S181="3"</formula>
    </cfRule>
  </conditionalFormatting>
  <conditionalFormatting sqref="O181">
    <cfRule type="expression" dxfId="329" priority="455">
      <formula>S181="3"</formula>
    </cfRule>
  </conditionalFormatting>
  <conditionalFormatting sqref="O181:Q181">
    <cfRule type="expression" dxfId="328" priority="454">
      <formula>S181="3"</formula>
    </cfRule>
  </conditionalFormatting>
  <conditionalFormatting sqref="O181:Q181">
    <cfRule type="expression" dxfId="327" priority="453">
      <formula>S181="3"</formula>
    </cfRule>
  </conditionalFormatting>
  <conditionalFormatting sqref="O181:Q181">
    <cfRule type="expression" dxfId="326" priority="452">
      <formula>S181="3"</formula>
    </cfRule>
  </conditionalFormatting>
  <conditionalFormatting sqref="O231">
    <cfRule type="expression" dxfId="325" priority="451">
      <formula>S231="3"</formula>
    </cfRule>
  </conditionalFormatting>
  <conditionalFormatting sqref="O231">
    <cfRule type="expression" dxfId="324" priority="450">
      <formula>S231="3"</formula>
    </cfRule>
  </conditionalFormatting>
  <conditionalFormatting sqref="O231">
    <cfRule type="expression" dxfId="323" priority="449">
      <formula>S231="3"</formula>
    </cfRule>
  </conditionalFormatting>
  <conditionalFormatting sqref="O231:P231">
    <cfRule type="expression" dxfId="322" priority="448">
      <formula>S231="3"</formula>
    </cfRule>
  </conditionalFormatting>
  <conditionalFormatting sqref="O231:P231">
    <cfRule type="expression" dxfId="321" priority="447">
      <formula>S231="3"</formula>
    </cfRule>
  </conditionalFormatting>
  <conditionalFormatting sqref="O231:P231">
    <cfRule type="expression" dxfId="320" priority="446">
      <formula>S231="3"</formula>
    </cfRule>
  </conditionalFormatting>
  <conditionalFormatting sqref="O238">
    <cfRule type="expression" dxfId="319" priority="445">
      <formula>S238="3"</formula>
    </cfRule>
  </conditionalFormatting>
  <conditionalFormatting sqref="O238">
    <cfRule type="expression" dxfId="318" priority="444">
      <formula>S238="3"</formula>
    </cfRule>
  </conditionalFormatting>
  <conditionalFormatting sqref="O238">
    <cfRule type="expression" dxfId="317" priority="443">
      <formula>S238="3"</formula>
    </cfRule>
  </conditionalFormatting>
  <conditionalFormatting sqref="O238:Q238">
    <cfRule type="expression" dxfId="316" priority="442">
      <formula>S238="3"</formula>
    </cfRule>
  </conditionalFormatting>
  <conditionalFormatting sqref="O238:Q238">
    <cfRule type="expression" dxfId="315" priority="441">
      <formula>S238="3"</formula>
    </cfRule>
  </conditionalFormatting>
  <conditionalFormatting sqref="O238:Q238">
    <cfRule type="expression" dxfId="314" priority="440">
      <formula>S238="3"</formula>
    </cfRule>
  </conditionalFormatting>
  <conditionalFormatting sqref="O256">
    <cfRule type="expression" dxfId="313" priority="439">
      <formula>S256="3"</formula>
    </cfRule>
  </conditionalFormatting>
  <conditionalFormatting sqref="O256">
    <cfRule type="expression" dxfId="312" priority="438">
      <formula>S256="3"</formula>
    </cfRule>
  </conditionalFormatting>
  <conditionalFormatting sqref="O256">
    <cfRule type="expression" dxfId="311" priority="437">
      <formula>S256="3"</formula>
    </cfRule>
  </conditionalFormatting>
  <conditionalFormatting sqref="O256:Q256">
    <cfRule type="expression" dxfId="310" priority="436">
      <formula>S256="3"</formula>
    </cfRule>
  </conditionalFormatting>
  <conditionalFormatting sqref="O256:Q256">
    <cfRule type="expression" dxfId="309" priority="435">
      <formula>S256="3"</formula>
    </cfRule>
  </conditionalFormatting>
  <conditionalFormatting sqref="O256:Q256">
    <cfRule type="expression" dxfId="308" priority="434">
      <formula>S256="3"</formula>
    </cfRule>
  </conditionalFormatting>
  <conditionalFormatting sqref="O262">
    <cfRule type="expression" dxfId="307" priority="433">
      <formula>S262="3"</formula>
    </cfRule>
  </conditionalFormatting>
  <conditionalFormatting sqref="O262">
    <cfRule type="expression" dxfId="306" priority="432">
      <formula>S262="3"</formula>
    </cfRule>
  </conditionalFormatting>
  <conditionalFormatting sqref="O262">
    <cfRule type="expression" dxfId="305" priority="431">
      <formula>S262="3"</formula>
    </cfRule>
  </conditionalFormatting>
  <conditionalFormatting sqref="O262:Q262">
    <cfRule type="expression" dxfId="304" priority="430">
      <formula>S262="3"</formula>
    </cfRule>
  </conditionalFormatting>
  <conditionalFormatting sqref="O262:Q262">
    <cfRule type="expression" dxfId="303" priority="429">
      <formula>S262="3"</formula>
    </cfRule>
  </conditionalFormatting>
  <conditionalFormatting sqref="O262:Q262">
    <cfRule type="expression" dxfId="302" priority="428">
      <formula>S262="3"</formula>
    </cfRule>
  </conditionalFormatting>
  <conditionalFormatting sqref="O382">
    <cfRule type="expression" dxfId="301" priority="427">
      <formula>S382="3"</formula>
    </cfRule>
  </conditionalFormatting>
  <conditionalFormatting sqref="O382">
    <cfRule type="expression" dxfId="300" priority="426">
      <formula>S382="3"</formula>
    </cfRule>
  </conditionalFormatting>
  <conditionalFormatting sqref="O382">
    <cfRule type="expression" dxfId="299" priority="425">
      <formula>S382="3"</formula>
    </cfRule>
  </conditionalFormatting>
  <conditionalFormatting sqref="O382:Q382">
    <cfRule type="expression" dxfId="298" priority="424">
      <formula>S382="3"</formula>
    </cfRule>
  </conditionalFormatting>
  <conditionalFormatting sqref="O382:Q382">
    <cfRule type="expression" dxfId="297" priority="423">
      <formula>S382="3"</formula>
    </cfRule>
  </conditionalFormatting>
  <conditionalFormatting sqref="O382:Q382">
    <cfRule type="expression" dxfId="296" priority="422">
      <formula>S382="3"</formula>
    </cfRule>
  </conditionalFormatting>
  <conditionalFormatting sqref="O439">
    <cfRule type="expression" dxfId="295" priority="421">
      <formula>S439="3"</formula>
    </cfRule>
  </conditionalFormatting>
  <conditionalFormatting sqref="O439">
    <cfRule type="expression" dxfId="294" priority="420">
      <formula>S439="3"</formula>
    </cfRule>
  </conditionalFormatting>
  <conditionalFormatting sqref="O439">
    <cfRule type="expression" dxfId="293" priority="419">
      <formula>S439="3"</formula>
    </cfRule>
  </conditionalFormatting>
  <conditionalFormatting sqref="O439:P439">
    <cfRule type="expression" dxfId="292" priority="418">
      <formula>S439="3"</formula>
    </cfRule>
  </conditionalFormatting>
  <conditionalFormatting sqref="O439:P439">
    <cfRule type="expression" dxfId="291" priority="417">
      <formula>S439="3"</formula>
    </cfRule>
  </conditionalFormatting>
  <conditionalFormatting sqref="O439:P439">
    <cfRule type="expression" dxfId="290" priority="416">
      <formula>S439="3"</formula>
    </cfRule>
  </conditionalFormatting>
  <conditionalFormatting sqref="O445">
    <cfRule type="expression" dxfId="289" priority="415">
      <formula>S445="3"</formula>
    </cfRule>
  </conditionalFormatting>
  <conditionalFormatting sqref="O445">
    <cfRule type="expression" dxfId="288" priority="414">
      <formula>S445="3"</formula>
    </cfRule>
  </conditionalFormatting>
  <conditionalFormatting sqref="O445">
    <cfRule type="expression" dxfId="287" priority="413">
      <formula>S445="3"</formula>
    </cfRule>
  </conditionalFormatting>
  <conditionalFormatting sqref="O445:Q445">
    <cfRule type="expression" dxfId="286" priority="412">
      <formula>S445="3"</formula>
    </cfRule>
  </conditionalFormatting>
  <conditionalFormatting sqref="O445:Q445">
    <cfRule type="expression" dxfId="285" priority="411">
      <formula>S445="3"</formula>
    </cfRule>
  </conditionalFormatting>
  <conditionalFormatting sqref="O445:Q445">
    <cfRule type="expression" dxfId="284" priority="410">
      <formula>S445="3"</formula>
    </cfRule>
  </conditionalFormatting>
  <conditionalFormatting sqref="O451">
    <cfRule type="expression" dxfId="283" priority="409">
      <formula>S451="3"</formula>
    </cfRule>
  </conditionalFormatting>
  <conditionalFormatting sqref="E460">
    <cfRule type="expression" dxfId="282" priority="392" stopIfTrue="1">
      <formula>#REF!="1"</formula>
    </cfRule>
    <cfRule type="expression" dxfId="281" priority="393" stopIfTrue="1">
      <formula>#REF!="2"</formula>
    </cfRule>
    <cfRule type="expression" dxfId="280" priority="394" stopIfTrue="1">
      <formula>#REF!="3"</formula>
    </cfRule>
  </conditionalFormatting>
  <conditionalFormatting sqref="O502:Q502">
    <cfRule type="expression" dxfId="279" priority="386">
      <formula>S502="3"</formula>
    </cfRule>
  </conditionalFormatting>
  <conditionalFormatting sqref="O502">
    <cfRule type="expression" dxfId="278" priority="391">
      <formula>S502="3"</formula>
    </cfRule>
  </conditionalFormatting>
  <conditionalFormatting sqref="O502">
    <cfRule type="expression" dxfId="277" priority="390">
      <formula>S502="3"</formula>
    </cfRule>
  </conditionalFormatting>
  <conditionalFormatting sqref="O502">
    <cfRule type="expression" dxfId="276" priority="389">
      <formula>S502="3"</formula>
    </cfRule>
  </conditionalFormatting>
  <conditionalFormatting sqref="O502:Q502">
    <cfRule type="expression" dxfId="275" priority="388">
      <formula>S502="3"</formula>
    </cfRule>
  </conditionalFormatting>
  <conditionalFormatting sqref="O502:Q502">
    <cfRule type="expression" dxfId="274" priority="387">
      <formula>S502="3"</formula>
    </cfRule>
  </conditionalFormatting>
  <conditionalFormatting sqref="F38 F41:F42 F45">
    <cfRule type="expression" dxfId="273" priority="379" stopIfTrue="1">
      <formula>K38&lt;0</formula>
    </cfRule>
  </conditionalFormatting>
  <conditionalFormatting sqref="G41:G42 G45">
    <cfRule type="expression" dxfId="272" priority="378" stopIfTrue="1">
      <formula>K41&lt;0</formula>
    </cfRule>
  </conditionalFormatting>
  <conditionalFormatting sqref="H41:H42 H45">
    <cfRule type="expression" dxfId="271" priority="377" stopIfTrue="1">
      <formula>K41&lt;0</formula>
    </cfRule>
  </conditionalFormatting>
  <conditionalFormatting sqref="I41:I42 I45">
    <cfRule type="expression" dxfId="270" priority="376" stopIfTrue="1">
      <formula>K41&lt;0</formula>
    </cfRule>
  </conditionalFormatting>
  <conditionalFormatting sqref="K38 K41:K42 K45">
    <cfRule type="expression" dxfId="269" priority="373" stopIfTrue="1">
      <formula>P38="1"</formula>
    </cfRule>
    <cfRule type="expression" dxfId="268" priority="374" stopIfTrue="1">
      <formula>P38="3"</formula>
    </cfRule>
    <cfRule type="expression" dxfId="267" priority="375" stopIfTrue="1">
      <formula>K38&lt;0</formula>
    </cfRule>
  </conditionalFormatting>
  <conditionalFormatting sqref="K187:K188 K190:K192 K194">
    <cfRule type="expression" dxfId="266" priority="349" stopIfTrue="1">
      <formula>P187="1"</formula>
    </cfRule>
    <cfRule type="expression" dxfId="265" priority="350" stopIfTrue="1">
      <formula>P187="3"</formula>
    </cfRule>
    <cfRule type="expression" dxfId="264" priority="351" stopIfTrue="1">
      <formula>K187&lt;0</formula>
    </cfRule>
  </conditionalFormatting>
  <conditionalFormatting sqref="K189">
    <cfRule type="expression" dxfId="263" priority="346" stopIfTrue="1">
      <formula>P189="1"</formula>
    </cfRule>
    <cfRule type="expression" dxfId="262" priority="347" stopIfTrue="1">
      <formula>P189="3"</formula>
    </cfRule>
    <cfRule type="expression" dxfId="261" priority="348" stopIfTrue="1">
      <formula>K189&lt;0</formula>
    </cfRule>
  </conditionalFormatting>
  <conditionalFormatting sqref="K193">
    <cfRule type="expression" dxfId="260" priority="343" stopIfTrue="1">
      <formula>P193="1"</formula>
    </cfRule>
    <cfRule type="expression" dxfId="259" priority="344" stopIfTrue="1">
      <formula>P193="3"</formula>
    </cfRule>
    <cfRule type="expression" dxfId="258" priority="345" stopIfTrue="1">
      <formula>K193&lt;0</formula>
    </cfRule>
  </conditionalFormatting>
  <conditionalFormatting sqref="K195">
    <cfRule type="expression" dxfId="257" priority="337" stopIfTrue="1">
      <formula>P195="1"</formula>
    </cfRule>
    <cfRule type="expression" dxfId="256" priority="338" stopIfTrue="1">
      <formula>P195="3"</formula>
    </cfRule>
    <cfRule type="expression" dxfId="255" priority="339" stopIfTrue="1">
      <formula>K195&lt;0</formula>
    </cfRule>
  </conditionalFormatting>
  <conditionalFormatting sqref="K197">
    <cfRule type="expression" dxfId="254" priority="340" stopIfTrue="1">
      <formula>P197="1"</formula>
    </cfRule>
    <cfRule type="expression" dxfId="253" priority="341" stopIfTrue="1">
      <formula>P197="3"</formula>
    </cfRule>
    <cfRule type="expression" dxfId="252" priority="342" stopIfTrue="1">
      <formula>K197&lt;0</formula>
    </cfRule>
  </conditionalFormatting>
  <conditionalFormatting sqref="K199">
    <cfRule type="expression" dxfId="251" priority="334" stopIfTrue="1">
      <formula>P199="1"</formula>
    </cfRule>
    <cfRule type="expression" dxfId="250" priority="335" stopIfTrue="1">
      <formula>P199="3"</formula>
    </cfRule>
    <cfRule type="expression" dxfId="249" priority="336" stopIfTrue="1">
      <formula>K199&lt;0</formula>
    </cfRule>
  </conditionalFormatting>
  <conditionalFormatting sqref="K200">
    <cfRule type="expression" dxfId="248" priority="331" stopIfTrue="1">
      <formula>P200="1"</formula>
    </cfRule>
    <cfRule type="expression" dxfId="247" priority="332" stopIfTrue="1">
      <formula>P200="3"</formula>
    </cfRule>
    <cfRule type="expression" dxfId="246" priority="333" stopIfTrue="1">
      <formula>K200&lt;0</formula>
    </cfRule>
  </conditionalFormatting>
  <conditionalFormatting sqref="K202">
    <cfRule type="expression" dxfId="245" priority="328" stopIfTrue="1">
      <formula>P202="1"</formula>
    </cfRule>
    <cfRule type="expression" dxfId="244" priority="329" stopIfTrue="1">
      <formula>P202="3"</formula>
    </cfRule>
    <cfRule type="expression" dxfId="243" priority="330" stopIfTrue="1">
      <formula>K202&lt;0</formula>
    </cfRule>
  </conditionalFormatting>
  <conditionalFormatting sqref="K203">
    <cfRule type="expression" dxfId="242" priority="325" stopIfTrue="1">
      <formula>P203="1"</formula>
    </cfRule>
    <cfRule type="expression" dxfId="241" priority="326" stopIfTrue="1">
      <formula>P203="3"</formula>
    </cfRule>
    <cfRule type="expression" dxfId="240" priority="327" stopIfTrue="1">
      <formula>K203&lt;0</formula>
    </cfRule>
  </conditionalFormatting>
  <conditionalFormatting sqref="K204">
    <cfRule type="expression" dxfId="239" priority="322" stopIfTrue="1">
      <formula>P204="1"</formula>
    </cfRule>
    <cfRule type="expression" dxfId="238" priority="323" stopIfTrue="1">
      <formula>P204="3"</formula>
    </cfRule>
    <cfRule type="expression" dxfId="237" priority="324" stopIfTrue="1">
      <formula>K204&lt;0</formula>
    </cfRule>
  </conditionalFormatting>
  <conditionalFormatting sqref="K205">
    <cfRule type="expression" dxfId="236" priority="319" stopIfTrue="1">
      <formula>P205="1"</formula>
    </cfRule>
    <cfRule type="expression" dxfId="235" priority="320" stopIfTrue="1">
      <formula>P205="3"</formula>
    </cfRule>
    <cfRule type="expression" dxfId="234" priority="321" stopIfTrue="1">
      <formula>K205&lt;0</formula>
    </cfRule>
  </conditionalFormatting>
  <conditionalFormatting sqref="K206">
    <cfRule type="expression" dxfId="233" priority="316" stopIfTrue="1">
      <formula>P206="1"</formula>
    </cfRule>
    <cfRule type="expression" dxfId="232" priority="317" stopIfTrue="1">
      <formula>P206="3"</formula>
    </cfRule>
    <cfRule type="expression" dxfId="231" priority="318" stopIfTrue="1">
      <formula>K206&lt;0</formula>
    </cfRule>
  </conditionalFormatting>
  <conditionalFormatting sqref="K207:K210">
    <cfRule type="expression" dxfId="230" priority="313" stopIfTrue="1">
      <formula>P207="1"</formula>
    </cfRule>
    <cfRule type="expression" dxfId="229" priority="314" stopIfTrue="1">
      <formula>P207="3"</formula>
    </cfRule>
    <cfRule type="expression" dxfId="228" priority="315" stopIfTrue="1">
      <formula>K207&lt;0</formula>
    </cfRule>
  </conditionalFormatting>
  <conditionalFormatting sqref="M26">
    <cfRule type="expression" dxfId="227" priority="309" stopIfTrue="1">
      <formula>K26&lt;0</formula>
    </cfRule>
  </conditionalFormatting>
  <conditionalFormatting sqref="E26">
    <cfRule type="expression" dxfId="226" priority="306" stopIfTrue="1">
      <formula>N26="1"</formula>
    </cfRule>
    <cfRule type="expression" dxfId="225" priority="307" stopIfTrue="1">
      <formula>N26="2"</formula>
    </cfRule>
    <cfRule type="expression" dxfId="224" priority="308" stopIfTrue="1">
      <formula>K26&lt;0</formula>
    </cfRule>
  </conditionalFormatting>
  <conditionalFormatting sqref="F26">
    <cfRule type="expression" dxfId="223" priority="305" stopIfTrue="1">
      <formula>K26&lt;0</formula>
    </cfRule>
  </conditionalFormatting>
  <conditionalFormatting sqref="G26">
    <cfRule type="expression" dxfId="222" priority="304" stopIfTrue="1">
      <formula>K26&lt;0</formula>
    </cfRule>
  </conditionalFormatting>
  <conditionalFormatting sqref="H26">
    <cfRule type="expression" dxfId="221" priority="303" stopIfTrue="1">
      <formula>K26&lt;0</formula>
    </cfRule>
  </conditionalFormatting>
  <conditionalFormatting sqref="I26:J26">
    <cfRule type="expression" dxfId="220" priority="302" stopIfTrue="1">
      <formula>K26&lt;0</formula>
    </cfRule>
  </conditionalFormatting>
  <conditionalFormatting sqref="K26:K27">
    <cfRule type="expression" dxfId="219" priority="299" stopIfTrue="1">
      <formula>P26="1"</formula>
    </cfRule>
    <cfRule type="expression" dxfId="218" priority="300" stopIfTrue="1">
      <formula>P26="3"</formula>
    </cfRule>
    <cfRule type="expression" dxfId="217" priority="301" stopIfTrue="1">
      <formula>K26&lt;0</formula>
    </cfRule>
  </conditionalFormatting>
  <conditionalFormatting sqref="L26">
    <cfRule type="expression" dxfId="216" priority="298" stopIfTrue="1">
      <formula>K26&lt;0</formula>
    </cfRule>
  </conditionalFormatting>
  <conditionalFormatting sqref="K28">
    <cfRule type="expression" dxfId="215" priority="295" stopIfTrue="1">
      <formula>P28="1"</formula>
    </cfRule>
    <cfRule type="expression" dxfId="214" priority="296" stopIfTrue="1">
      <formula>P28="3"</formula>
    </cfRule>
    <cfRule type="expression" dxfId="213" priority="297" stopIfTrue="1">
      <formula>K28&lt;0</formula>
    </cfRule>
  </conditionalFormatting>
  <conditionalFormatting sqref="K29">
    <cfRule type="expression" dxfId="212" priority="292" stopIfTrue="1">
      <formula>P29="1"</formula>
    </cfRule>
    <cfRule type="expression" dxfId="211" priority="293" stopIfTrue="1">
      <formula>P29="3"</formula>
    </cfRule>
    <cfRule type="expression" dxfId="210" priority="294" stopIfTrue="1">
      <formula>K29&lt;0</formula>
    </cfRule>
  </conditionalFormatting>
  <conditionalFormatting sqref="K30">
    <cfRule type="expression" dxfId="209" priority="289" stopIfTrue="1">
      <formula>P30="1"</formula>
    </cfRule>
    <cfRule type="expression" dxfId="208" priority="290" stopIfTrue="1">
      <formula>P30="3"</formula>
    </cfRule>
    <cfRule type="expression" dxfId="207" priority="291" stopIfTrue="1">
      <formula>K30&lt;0</formula>
    </cfRule>
  </conditionalFormatting>
  <conditionalFormatting sqref="F43">
    <cfRule type="expression" dxfId="206" priority="285" stopIfTrue="1">
      <formula>K43&lt;0</formula>
    </cfRule>
  </conditionalFormatting>
  <conditionalFormatting sqref="G43">
    <cfRule type="expression" dxfId="205" priority="284" stopIfTrue="1">
      <formula>K43&lt;0</formula>
    </cfRule>
  </conditionalFormatting>
  <conditionalFormatting sqref="H43">
    <cfRule type="expression" dxfId="204" priority="283" stopIfTrue="1">
      <formula>K43&lt;0</formula>
    </cfRule>
  </conditionalFormatting>
  <conditionalFormatting sqref="I43">
    <cfRule type="expression" dxfId="203" priority="282" stopIfTrue="1">
      <formula>K43&lt;0</formula>
    </cfRule>
  </conditionalFormatting>
  <conditionalFormatting sqref="K43">
    <cfRule type="expression" dxfId="202" priority="279" stopIfTrue="1">
      <formula>P43="1"</formula>
    </cfRule>
    <cfRule type="expression" dxfId="201" priority="280" stopIfTrue="1">
      <formula>P43="3"</formula>
    </cfRule>
    <cfRule type="expression" dxfId="200" priority="281" stopIfTrue="1">
      <formula>K43&lt;0</formula>
    </cfRule>
  </conditionalFormatting>
  <conditionalFormatting sqref="K50:K53">
    <cfRule type="expression" dxfId="199" priority="265" stopIfTrue="1">
      <formula>P50="1"</formula>
    </cfRule>
    <cfRule type="expression" dxfId="198" priority="266" stopIfTrue="1">
      <formula>P50="3"</formula>
    </cfRule>
    <cfRule type="expression" dxfId="197" priority="267" stopIfTrue="1">
      <formula>K50&lt;0</formula>
    </cfRule>
  </conditionalFormatting>
  <conditionalFormatting sqref="F49">
    <cfRule type="expression" dxfId="196" priority="278" stopIfTrue="1">
      <formula>K49&lt;0</formula>
    </cfRule>
  </conditionalFormatting>
  <conditionalFormatting sqref="G49">
    <cfRule type="expression" dxfId="195" priority="277" stopIfTrue="1">
      <formula>K49&lt;0</formula>
    </cfRule>
  </conditionalFormatting>
  <conditionalFormatting sqref="H49">
    <cfRule type="expression" dxfId="194" priority="276" stopIfTrue="1">
      <formula>K49&lt;0</formula>
    </cfRule>
  </conditionalFormatting>
  <conditionalFormatting sqref="I49">
    <cfRule type="expression" dxfId="193" priority="275" stopIfTrue="1">
      <formula>K49&lt;0</formula>
    </cfRule>
  </conditionalFormatting>
  <conditionalFormatting sqref="K49">
    <cfRule type="expression" dxfId="192" priority="272" stopIfTrue="1">
      <formula>P49="1"</formula>
    </cfRule>
    <cfRule type="expression" dxfId="191" priority="273" stopIfTrue="1">
      <formula>P49="3"</formula>
    </cfRule>
    <cfRule type="expression" dxfId="190" priority="274" stopIfTrue="1">
      <formula>K49&lt;0</formula>
    </cfRule>
  </conditionalFormatting>
  <conditionalFormatting sqref="F50">
    <cfRule type="expression" dxfId="189" priority="271" stopIfTrue="1">
      <formula>K50&lt;0</formula>
    </cfRule>
  </conditionalFormatting>
  <conditionalFormatting sqref="G50">
    <cfRule type="expression" dxfId="188" priority="270" stopIfTrue="1">
      <formula>K50&lt;0</formula>
    </cfRule>
  </conditionalFormatting>
  <conditionalFormatting sqref="H50">
    <cfRule type="expression" dxfId="187" priority="269" stopIfTrue="1">
      <formula>K50&lt;0</formula>
    </cfRule>
  </conditionalFormatting>
  <conditionalFormatting sqref="I50">
    <cfRule type="expression" dxfId="186" priority="268" stopIfTrue="1">
      <formula>K50&lt;0</formula>
    </cfRule>
  </conditionalFormatting>
  <conditionalFormatting sqref="F51">
    <cfRule type="expression" dxfId="185" priority="264" stopIfTrue="1">
      <formula>K51&lt;0</formula>
    </cfRule>
  </conditionalFormatting>
  <conditionalFormatting sqref="G51">
    <cfRule type="expression" dxfId="184" priority="263" stopIfTrue="1">
      <formula>K51&lt;0</formula>
    </cfRule>
  </conditionalFormatting>
  <conditionalFormatting sqref="H51">
    <cfRule type="expression" dxfId="183" priority="262" stopIfTrue="1">
      <formula>K51&lt;0</formula>
    </cfRule>
  </conditionalFormatting>
  <conditionalFormatting sqref="I51">
    <cfRule type="expression" dxfId="182" priority="261" stopIfTrue="1">
      <formula>K51&lt;0</formula>
    </cfRule>
  </conditionalFormatting>
  <conditionalFormatting sqref="F52">
    <cfRule type="expression" dxfId="181" priority="260" stopIfTrue="1">
      <formula>K52&lt;0</formula>
    </cfRule>
  </conditionalFormatting>
  <conditionalFormatting sqref="G52">
    <cfRule type="expression" dxfId="180" priority="259" stopIfTrue="1">
      <formula>K52&lt;0</formula>
    </cfRule>
  </conditionalFormatting>
  <conditionalFormatting sqref="H52">
    <cfRule type="expression" dxfId="179" priority="258" stopIfTrue="1">
      <formula>K52&lt;0</formula>
    </cfRule>
  </conditionalFormatting>
  <conditionalFormatting sqref="I52">
    <cfRule type="expression" dxfId="178" priority="257" stopIfTrue="1">
      <formula>K52&lt;0</formula>
    </cfRule>
  </conditionalFormatting>
  <conditionalFormatting sqref="F53">
    <cfRule type="expression" dxfId="177" priority="256" stopIfTrue="1">
      <formula>K53&lt;0</formula>
    </cfRule>
  </conditionalFormatting>
  <conditionalFormatting sqref="G53">
    <cfRule type="expression" dxfId="176" priority="255" stopIfTrue="1">
      <formula>K53&lt;0</formula>
    </cfRule>
  </conditionalFormatting>
  <conditionalFormatting sqref="H53">
    <cfRule type="expression" dxfId="175" priority="254" stopIfTrue="1">
      <formula>K53&lt;0</formula>
    </cfRule>
  </conditionalFormatting>
  <conditionalFormatting sqref="I53">
    <cfRule type="expression" dxfId="174" priority="253" stopIfTrue="1">
      <formula>K53&lt;0</formula>
    </cfRule>
  </conditionalFormatting>
  <conditionalFormatting sqref="K54">
    <cfRule type="expression" dxfId="173" priority="250" stopIfTrue="1">
      <formula>P54="1"</formula>
    </cfRule>
    <cfRule type="expression" dxfId="172" priority="251" stopIfTrue="1">
      <formula>P54="3"</formula>
    </cfRule>
    <cfRule type="expression" dxfId="171" priority="252" stopIfTrue="1">
      <formula>K54&lt;0</formula>
    </cfRule>
  </conditionalFormatting>
  <conditionalFormatting sqref="K55">
    <cfRule type="expression" dxfId="170" priority="247" stopIfTrue="1">
      <formula>P55="1"</formula>
    </cfRule>
    <cfRule type="expression" dxfId="169" priority="248" stopIfTrue="1">
      <formula>P55="3"</formula>
    </cfRule>
    <cfRule type="expression" dxfId="168" priority="249" stopIfTrue="1">
      <formula>K55&lt;0</formula>
    </cfRule>
  </conditionalFormatting>
  <conditionalFormatting sqref="K74">
    <cfRule type="expression" dxfId="167" priority="238" stopIfTrue="1">
      <formula>P74="1"</formula>
    </cfRule>
    <cfRule type="expression" dxfId="166" priority="239" stopIfTrue="1">
      <formula>P74="3"</formula>
    </cfRule>
    <cfRule type="expression" dxfId="165" priority="240" stopIfTrue="1">
      <formula>K74&lt;0</formula>
    </cfRule>
  </conditionalFormatting>
  <conditionalFormatting sqref="K75">
    <cfRule type="expression" dxfId="164" priority="235" stopIfTrue="1">
      <formula>P75="1"</formula>
    </cfRule>
    <cfRule type="expression" dxfId="163" priority="236" stopIfTrue="1">
      <formula>P75="3"</formula>
    </cfRule>
    <cfRule type="expression" dxfId="162" priority="237" stopIfTrue="1">
      <formula>K75&lt;0</formula>
    </cfRule>
  </conditionalFormatting>
  <conditionalFormatting sqref="K100">
    <cfRule type="expression" dxfId="161" priority="226" stopIfTrue="1">
      <formula>P100="1"</formula>
    </cfRule>
    <cfRule type="expression" dxfId="160" priority="227" stopIfTrue="1">
      <formula>P100="3"</formula>
    </cfRule>
    <cfRule type="expression" dxfId="159" priority="228" stopIfTrue="1">
      <formula>K100&lt;0</formula>
    </cfRule>
  </conditionalFormatting>
  <conditionalFormatting sqref="K81">
    <cfRule type="expression" dxfId="158" priority="229" stopIfTrue="1">
      <formula>P81="1"</formula>
    </cfRule>
    <cfRule type="expression" dxfId="157" priority="230" stopIfTrue="1">
      <formula>P81="3"</formula>
    </cfRule>
    <cfRule type="expression" dxfId="156" priority="231" stopIfTrue="1">
      <formula>K81&lt;0</formula>
    </cfRule>
  </conditionalFormatting>
  <conditionalFormatting sqref="E85">
    <cfRule type="expression" dxfId="155" priority="223" stopIfTrue="1">
      <formula>N85="1"</formula>
    </cfRule>
    <cfRule type="expression" dxfId="154" priority="224" stopIfTrue="1">
      <formula>N85="2"</formula>
    </cfRule>
    <cfRule type="expression" dxfId="153" priority="225" stopIfTrue="1">
      <formula>K85&lt;0</formula>
    </cfRule>
  </conditionalFormatting>
  <conditionalFormatting sqref="K85:K89">
    <cfRule type="expression" dxfId="152" priority="220" stopIfTrue="1">
      <formula>P85="1"</formula>
    </cfRule>
    <cfRule type="expression" dxfId="151" priority="221" stopIfTrue="1">
      <formula>P85="3"</formula>
    </cfRule>
    <cfRule type="expression" dxfId="150" priority="222" stopIfTrue="1">
      <formula>K85&lt;0</formula>
    </cfRule>
  </conditionalFormatting>
  <conditionalFormatting sqref="E100">
    <cfRule type="expression" dxfId="149" priority="217" stopIfTrue="1">
      <formula>N100="1"</formula>
    </cfRule>
    <cfRule type="expression" dxfId="148" priority="218" stopIfTrue="1">
      <formula>N100="2"</formula>
    </cfRule>
    <cfRule type="expression" dxfId="147" priority="219" stopIfTrue="1">
      <formula>K100&lt;0</formula>
    </cfRule>
  </conditionalFormatting>
  <conditionalFormatting sqref="K111:K112">
    <cfRule type="expression" dxfId="146" priority="214" stopIfTrue="1">
      <formula>P111="1"</formula>
    </cfRule>
    <cfRule type="expression" dxfId="145" priority="215" stopIfTrue="1">
      <formula>P111="3"</formula>
    </cfRule>
    <cfRule type="expression" dxfId="144" priority="216" stopIfTrue="1">
      <formula>K111&lt;0</formula>
    </cfRule>
  </conditionalFormatting>
  <conditionalFormatting sqref="K127">
    <cfRule type="expression" dxfId="143" priority="196" stopIfTrue="1">
      <formula>P127="1"</formula>
    </cfRule>
    <cfRule type="expression" dxfId="142" priority="197" stopIfTrue="1">
      <formula>P127="3"</formula>
    </cfRule>
    <cfRule type="expression" dxfId="141" priority="198" stopIfTrue="1">
      <formula>K127&lt;0</formula>
    </cfRule>
  </conditionalFormatting>
  <conditionalFormatting sqref="K128">
    <cfRule type="expression" dxfId="140" priority="190" stopIfTrue="1">
      <formula>P128="1"</formula>
    </cfRule>
    <cfRule type="expression" dxfId="139" priority="191" stopIfTrue="1">
      <formula>P128="3"</formula>
    </cfRule>
    <cfRule type="expression" dxfId="138" priority="192" stopIfTrue="1">
      <formula>K128&lt;0</formula>
    </cfRule>
  </conditionalFormatting>
  <conditionalFormatting sqref="K145">
    <cfRule type="expression" dxfId="137" priority="187" stopIfTrue="1">
      <formula>P145="1"</formula>
    </cfRule>
    <cfRule type="expression" dxfId="136" priority="188" stopIfTrue="1">
      <formula>P145="3"</formula>
    </cfRule>
    <cfRule type="expression" dxfId="135" priority="189" stopIfTrue="1">
      <formula>K145&lt;0</formula>
    </cfRule>
  </conditionalFormatting>
  <conditionalFormatting sqref="K163:K164">
    <cfRule type="expression" dxfId="134" priority="178" stopIfTrue="1">
      <formula>P163="1"</formula>
    </cfRule>
    <cfRule type="expression" dxfId="133" priority="179" stopIfTrue="1">
      <formula>P163="3"</formula>
    </cfRule>
    <cfRule type="expression" dxfId="132" priority="180" stopIfTrue="1">
      <formula>K163&lt;0</formula>
    </cfRule>
  </conditionalFormatting>
  <conditionalFormatting sqref="K154">
    <cfRule type="expression" dxfId="131" priority="184" stopIfTrue="1">
      <formula>P154="1"</formula>
    </cfRule>
    <cfRule type="expression" dxfId="130" priority="185" stopIfTrue="1">
      <formula>P154="3"</formula>
    </cfRule>
    <cfRule type="expression" dxfId="129" priority="186" stopIfTrue="1">
      <formula>K154&lt;0</formula>
    </cfRule>
  </conditionalFormatting>
  <conditionalFormatting sqref="K155">
    <cfRule type="expression" dxfId="128" priority="181" stopIfTrue="1">
      <formula>P155="1"</formula>
    </cfRule>
    <cfRule type="expression" dxfId="127" priority="182" stopIfTrue="1">
      <formula>P155="3"</formula>
    </cfRule>
    <cfRule type="expression" dxfId="126" priority="183" stopIfTrue="1">
      <formula>K155&lt;0</formula>
    </cfRule>
  </conditionalFormatting>
  <conditionalFormatting sqref="K176">
    <cfRule type="expression" dxfId="125" priority="169" stopIfTrue="1">
      <formula>P176="1"</formula>
    </cfRule>
    <cfRule type="expression" dxfId="124" priority="170" stopIfTrue="1">
      <formula>P176="3"</formula>
    </cfRule>
    <cfRule type="expression" dxfId="123" priority="171" stopIfTrue="1">
      <formula>K176&lt;0</formula>
    </cfRule>
  </conditionalFormatting>
  <conditionalFormatting sqref="K169">
    <cfRule type="expression" dxfId="122" priority="175" stopIfTrue="1">
      <formula>P169="1"</formula>
    </cfRule>
    <cfRule type="expression" dxfId="121" priority="176" stopIfTrue="1">
      <formula>P169="3"</formula>
    </cfRule>
    <cfRule type="expression" dxfId="120" priority="177" stopIfTrue="1">
      <formula>K169&lt;0</formula>
    </cfRule>
  </conditionalFormatting>
  <conditionalFormatting sqref="K211">
    <cfRule type="expression" dxfId="119" priority="163" stopIfTrue="1">
      <formula>P211="1"</formula>
    </cfRule>
    <cfRule type="expression" dxfId="118" priority="164" stopIfTrue="1">
      <formula>P211="3"</formula>
    </cfRule>
    <cfRule type="expression" dxfId="117" priority="165" stopIfTrue="1">
      <formula>K211&lt;0</formula>
    </cfRule>
  </conditionalFormatting>
  <conditionalFormatting sqref="K146">
    <cfRule type="expression" dxfId="116" priority="157" stopIfTrue="1">
      <formula>P146="1"</formula>
    </cfRule>
    <cfRule type="expression" dxfId="115" priority="158" stopIfTrue="1">
      <formula>P146="3"</formula>
    </cfRule>
    <cfRule type="expression" dxfId="114" priority="159" stopIfTrue="1">
      <formula>K146&lt;0</formula>
    </cfRule>
  </conditionalFormatting>
  <conditionalFormatting sqref="K147">
    <cfRule type="expression" dxfId="113" priority="154" stopIfTrue="1">
      <formula>P147="1"</formula>
    </cfRule>
    <cfRule type="expression" dxfId="112" priority="155" stopIfTrue="1">
      <formula>P147="3"</formula>
    </cfRule>
    <cfRule type="expression" dxfId="111" priority="156" stopIfTrue="1">
      <formula>K147&lt;0</formula>
    </cfRule>
  </conditionalFormatting>
  <conditionalFormatting sqref="F67 F71:F72">
    <cfRule type="expression" dxfId="110" priority="148" stopIfTrue="1">
      <formula>K67="1"</formula>
    </cfRule>
    <cfRule type="expression" dxfId="109" priority="149" stopIfTrue="1">
      <formula>K67="3"</formula>
    </cfRule>
    <cfRule type="expression" dxfId="108" priority="150" stopIfTrue="1">
      <formula>F67&lt;0</formula>
    </cfRule>
  </conditionalFormatting>
  <conditionalFormatting sqref="E90">
    <cfRule type="expression" dxfId="107" priority="145" stopIfTrue="1">
      <formula>N90="1"</formula>
    </cfRule>
    <cfRule type="expression" dxfId="106" priority="146" stopIfTrue="1">
      <formula>N90="2"</formula>
    </cfRule>
    <cfRule type="expression" dxfId="105" priority="147" stopIfTrue="1">
      <formula>K90&lt;0</formula>
    </cfRule>
  </conditionalFormatting>
  <conditionalFormatting sqref="K90:K94">
    <cfRule type="expression" dxfId="104" priority="142" stopIfTrue="1">
      <formula>P90="1"</formula>
    </cfRule>
    <cfRule type="expression" dxfId="103" priority="143" stopIfTrue="1">
      <formula>P90="3"</formula>
    </cfRule>
    <cfRule type="expression" dxfId="102" priority="144" stopIfTrue="1">
      <formula>K90&lt;0</formula>
    </cfRule>
  </conditionalFormatting>
  <conditionalFormatting sqref="K119">
    <cfRule type="expression" dxfId="101" priority="136" stopIfTrue="1">
      <formula>P119="1"</formula>
    </cfRule>
    <cfRule type="expression" dxfId="100" priority="137" stopIfTrue="1">
      <formula>P119="3"</formula>
    </cfRule>
    <cfRule type="expression" dxfId="99" priority="138" stopIfTrue="1">
      <formula>K119&lt;0</formula>
    </cfRule>
  </conditionalFormatting>
  <conditionalFormatting sqref="K118">
    <cfRule type="expression" dxfId="98" priority="139" stopIfTrue="1">
      <formula>P118="1"</formula>
    </cfRule>
    <cfRule type="expression" dxfId="97" priority="140" stopIfTrue="1">
      <formula>P118="3"</formula>
    </cfRule>
    <cfRule type="expression" dxfId="96" priority="141" stopIfTrue="1">
      <formula>K118&lt;0</formula>
    </cfRule>
  </conditionalFormatting>
  <conditionalFormatting sqref="M11">
    <cfRule type="expression" dxfId="95" priority="123" stopIfTrue="1">
      <formula>K11&lt;0</formula>
    </cfRule>
  </conditionalFormatting>
  <conditionalFormatting sqref="E11">
    <cfRule type="expression" dxfId="94" priority="120" stopIfTrue="1">
      <formula>N11="1"</formula>
    </cfRule>
    <cfRule type="expression" dxfId="93" priority="121" stopIfTrue="1">
      <formula>N11="2"</formula>
    </cfRule>
    <cfRule type="expression" dxfId="92" priority="122" stopIfTrue="1">
      <formula>K11&lt;0</formula>
    </cfRule>
  </conditionalFormatting>
  <conditionalFormatting sqref="F11">
    <cfRule type="expression" dxfId="91" priority="119" stopIfTrue="1">
      <formula>K11&lt;0</formula>
    </cfRule>
  </conditionalFormatting>
  <conditionalFormatting sqref="G11">
    <cfRule type="expression" dxfId="90" priority="118" stopIfTrue="1">
      <formula>K11&lt;0</formula>
    </cfRule>
  </conditionalFormatting>
  <conditionalFormatting sqref="H11">
    <cfRule type="expression" dxfId="89" priority="117" stopIfTrue="1">
      <formula>K11&lt;0</formula>
    </cfRule>
  </conditionalFormatting>
  <conditionalFormatting sqref="I11:J11">
    <cfRule type="expression" dxfId="88" priority="116" stopIfTrue="1">
      <formula>K11&lt;0</formula>
    </cfRule>
  </conditionalFormatting>
  <conditionalFormatting sqref="K11:K12">
    <cfRule type="expression" dxfId="87" priority="113" stopIfTrue="1">
      <formula>P11="1"</formula>
    </cfRule>
    <cfRule type="expression" dxfId="86" priority="114" stopIfTrue="1">
      <formula>P11="3"</formula>
    </cfRule>
    <cfRule type="expression" dxfId="85" priority="115" stopIfTrue="1">
      <formula>K11&lt;0</formula>
    </cfRule>
  </conditionalFormatting>
  <conditionalFormatting sqref="L11">
    <cfRule type="expression" dxfId="84" priority="112" stopIfTrue="1">
      <formula>K11&lt;0</formula>
    </cfRule>
  </conditionalFormatting>
  <conditionalFormatting sqref="K13">
    <cfRule type="expression" dxfId="83" priority="109" stopIfTrue="1">
      <formula>P13="1"</formula>
    </cfRule>
    <cfRule type="expression" dxfId="82" priority="110" stopIfTrue="1">
      <formula>P13="3"</formula>
    </cfRule>
    <cfRule type="expression" dxfId="81" priority="111" stopIfTrue="1">
      <formula>K13&lt;0</formula>
    </cfRule>
  </conditionalFormatting>
  <conditionalFormatting sqref="K19">
    <cfRule type="expression" dxfId="80" priority="76" stopIfTrue="1">
      <formula>P19="1"</formula>
    </cfRule>
    <cfRule type="expression" dxfId="79" priority="77" stopIfTrue="1">
      <formula>P19="3"</formula>
    </cfRule>
    <cfRule type="expression" dxfId="78" priority="78" stopIfTrue="1">
      <formula>K19&lt;0</formula>
    </cfRule>
  </conditionalFormatting>
  <conditionalFormatting sqref="M17:M18">
    <cfRule type="expression" dxfId="77" priority="102" stopIfTrue="1">
      <formula>K17&lt;0</formula>
    </cfRule>
  </conditionalFormatting>
  <conditionalFormatting sqref="E17:E18">
    <cfRule type="expression" dxfId="76" priority="99" stopIfTrue="1">
      <formula>N17="1"</formula>
    </cfRule>
    <cfRule type="expression" dxfId="75" priority="100" stopIfTrue="1">
      <formula>N17="2"</formula>
    </cfRule>
    <cfRule type="expression" dxfId="74" priority="101" stopIfTrue="1">
      <formula>K17&lt;0</formula>
    </cfRule>
  </conditionalFormatting>
  <conditionalFormatting sqref="F17:F18">
    <cfRule type="expression" dxfId="73" priority="98" stopIfTrue="1">
      <formula>K17&lt;0</formula>
    </cfRule>
  </conditionalFormatting>
  <conditionalFormatting sqref="G17:G18">
    <cfRule type="expression" dxfId="72" priority="97" stopIfTrue="1">
      <formula>K17&lt;0</formula>
    </cfRule>
  </conditionalFormatting>
  <conditionalFormatting sqref="H17:H18">
    <cfRule type="expression" dxfId="71" priority="96" stopIfTrue="1">
      <formula>K17&lt;0</formula>
    </cfRule>
  </conditionalFormatting>
  <conditionalFormatting sqref="I17:J18">
    <cfRule type="expression" dxfId="70" priority="95" stopIfTrue="1">
      <formula>K17&lt;0</formula>
    </cfRule>
  </conditionalFormatting>
  <conditionalFormatting sqref="K17:K18">
    <cfRule type="expression" dxfId="69" priority="92" stopIfTrue="1">
      <formula>P17="1"</formula>
    </cfRule>
    <cfRule type="expression" dxfId="68" priority="93" stopIfTrue="1">
      <formula>P17="3"</formula>
    </cfRule>
    <cfRule type="expression" dxfId="67" priority="94" stopIfTrue="1">
      <formula>K17&lt;0</formula>
    </cfRule>
  </conditionalFormatting>
  <conditionalFormatting sqref="L17:L18">
    <cfRule type="expression" dxfId="66" priority="91" stopIfTrue="1">
      <formula>K17&lt;0</formula>
    </cfRule>
  </conditionalFormatting>
  <conditionalFormatting sqref="K31">
    <cfRule type="expression" dxfId="65" priority="73" stopIfTrue="1">
      <formula>P31="1"</formula>
    </cfRule>
    <cfRule type="expression" dxfId="64" priority="74" stopIfTrue="1">
      <formula>P31="3"</formula>
    </cfRule>
    <cfRule type="expression" dxfId="63" priority="75" stopIfTrue="1">
      <formula>K31&lt;0</formula>
    </cfRule>
  </conditionalFormatting>
  <conditionalFormatting sqref="K32">
    <cfRule type="expression" dxfId="62" priority="70" stopIfTrue="1">
      <formula>P32="1"</formula>
    </cfRule>
    <cfRule type="expression" dxfId="61" priority="71" stopIfTrue="1">
      <formula>P32="3"</formula>
    </cfRule>
    <cfRule type="expression" dxfId="60" priority="72" stopIfTrue="1">
      <formula>K32&lt;0</formula>
    </cfRule>
  </conditionalFormatting>
  <conditionalFormatting sqref="F31">
    <cfRule type="expression" dxfId="59" priority="69" stopIfTrue="1">
      <formula>K31&lt;0</formula>
    </cfRule>
  </conditionalFormatting>
  <conditionalFormatting sqref="K73">
    <cfRule type="expression" dxfId="58" priority="66" stopIfTrue="1">
      <formula>P73="1"</formula>
    </cfRule>
    <cfRule type="expression" dxfId="57" priority="67" stopIfTrue="1">
      <formula>P73="3"</formula>
    </cfRule>
    <cfRule type="expression" dxfId="56" priority="68" stopIfTrue="1">
      <formula>K73&lt;0</formula>
    </cfRule>
  </conditionalFormatting>
  <conditionalFormatting sqref="K120">
    <cfRule type="expression" dxfId="55" priority="63" stopIfTrue="1">
      <formula>P120="1"</formula>
    </cfRule>
    <cfRule type="expression" dxfId="54" priority="64" stopIfTrue="1">
      <formula>P120="3"</formula>
    </cfRule>
    <cfRule type="expression" dxfId="53" priority="65" stopIfTrue="1">
      <formula>K120&lt;0</formula>
    </cfRule>
  </conditionalFormatting>
  <conditionalFormatting sqref="K129">
    <cfRule type="expression" dxfId="52" priority="60" stopIfTrue="1">
      <formula>P129="1"</formula>
    </cfRule>
    <cfRule type="expression" dxfId="51" priority="61" stopIfTrue="1">
      <formula>P129="3"</formula>
    </cfRule>
    <cfRule type="expression" dxfId="50" priority="62" stopIfTrue="1">
      <formula>K129&lt;0</formula>
    </cfRule>
  </conditionalFormatting>
  <conditionalFormatting sqref="K135">
    <cfRule type="expression" dxfId="49" priority="57" stopIfTrue="1">
      <formula>P135="1"</formula>
    </cfRule>
    <cfRule type="expression" dxfId="48" priority="58" stopIfTrue="1">
      <formula>P135="3"</formula>
    </cfRule>
    <cfRule type="expression" dxfId="47" priority="59" stopIfTrue="1">
      <formula>K135&lt;0</formula>
    </cfRule>
  </conditionalFormatting>
  <conditionalFormatting sqref="K136">
    <cfRule type="expression" dxfId="46" priority="54" stopIfTrue="1">
      <formula>P136="1"</formula>
    </cfRule>
    <cfRule type="expression" dxfId="45" priority="55" stopIfTrue="1">
      <formula>P136="3"</formula>
    </cfRule>
    <cfRule type="expression" dxfId="44" priority="56" stopIfTrue="1">
      <formula>K136&lt;0</formula>
    </cfRule>
  </conditionalFormatting>
  <conditionalFormatting sqref="K137">
    <cfRule type="expression" dxfId="43" priority="51" stopIfTrue="1">
      <formula>P137="1"</formula>
    </cfRule>
    <cfRule type="expression" dxfId="42" priority="52" stopIfTrue="1">
      <formula>P137="3"</formula>
    </cfRule>
    <cfRule type="expression" dxfId="41" priority="53" stopIfTrue="1">
      <formula>K137&lt;0</formula>
    </cfRule>
  </conditionalFormatting>
  <conditionalFormatting sqref="F48">
    <cfRule type="expression" dxfId="40" priority="50" stopIfTrue="1">
      <formula>K48&lt;0</formula>
    </cfRule>
  </conditionalFormatting>
  <conditionalFormatting sqref="G48">
    <cfRule type="expression" dxfId="39" priority="49" stopIfTrue="1">
      <formula>K48&lt;0</formula>
    </cfRule>
  </conditionalFormatting>
  <conditionalFormatting sqref="H48">
    <cfRule type="expression" dxfId="38" priority="48" stopIfTrue="1">
      <formula>K48&lt;0</formula>
    </cfRule>
  </conditionalFormatting>
  <conditionalFormatting sqref="I48">
    <cfRule type="expression" dxfId="37" priority="47" stopIfTrue="1">
      <formula>K48&lt;0</formula>
    </cfRule>
  </conditionalFormatting>
  <conditionalFormatting sqref="K48">
    <cfRule type="expression" dxfId="36" priority="44" stopIfTrue="1">
      <formula>P48="1"</formula>
    </cfRule>
    <cfRule type="expression" dxfId="35" priority="45" stopIfTrue="1">
      <formula>P48="3"</formula>
    </cfRule>
    <cfRule type="expression" dxfId="34" priority="46" stopIfTrue="1">
      <formula>K48&lt;0</formula>
    </cfRule>
  </conditionalFormatting>
  <conditionalFormatting sqref="K68">
    <cfRule type="expression" dxfId="33" priority="41" stopIfTrue="1">
      <formula>P68="1"</formula>
    </cfRule>
    <cfRule type="expression" dxfId="32" priority="42" stopIfTrue="1">
      <formula>P68="3"</formula>
    </cfRule>
    <cfRule type="expression" dxfId="31" priority="43" stopIfTrue="1">
      <formula>K68&lt;0</formula>
    </cfRule>
  </conditionalFormatting>
  <conditionalFormatting sqref="K78:K80">
    <cfRule type="expression" dxfId="30" priority="38" stopIfTrue="1">
      <formula>P78="1"</formula>
    </cfRule>
    <cfRule type="expression" dxfId="29" priority="39" stopIfTrue="1">
      <formula>P78="3"</formula>
    </cfRule>
    <cfRule type="expression" dxfId="28" priority="40" stopIfTrue="1">
      <formula>K78&lt;0</formula>
    </cfRule>
  </conditionalFormatting>
  <conditionalFormatting sqref="K77">
    <cfRule type="expression" dxfId="27" priority="35" stopIfTrue="1">
      <formula>P77="1"</formula>
    </cfRule>
    <cfRule type="expression" dxfId="26" priority="36" stopIfTrue="1">
      <formula>P77="3"</formula>
    </cfRule>
    <cfRule type="expression" dxfId="25" priority="37" stopIfTrue="1">
      <formula>K77&lt;0</formula>
    </cfRule>
  </conditionalFormatting>
  <conditionalFormatting sqref="K212">
    <cfRule type="expression" dxfId="24" priority="26" stopIfTrue="1">
      <formula>P212="1"</formula>
    </cfRule>
    <cfRule type="expression" dxfId="23" priority="27" stopIfTrue="1">
      <formula>P212="3"</formula>
    </cfRule>
    <cfRule type="expression" dxfId="22" priority="28" stopIfTrue="1">
      <formula>K212&lt;0</formula>
    </cfRule>
  </conditionalFormatting>
  <conditionalFormatting sqref="K213">
    <cfRule type="expression" dxfId="21" priority="23" stopIfTrue="1">
      <formula>P213="1"</formula>
    </cfRule>
    <cfRule type="expression" dxfId="20" priority="24" stopIfTrue="1">
      <formula>P213="3"</formula>
    </cfRule>
    <cfRule type="expression" dxfId="19" priority="25" stopIfTrue="1">
      <formula>K213&lt;0</formula>
    </cfRule>
  </conditionalFormatting>
  <conditionalFormatting sqref="K196">
    <cfRule type="expression" dxfId="18" priority="20" stopIfTrue="1">
      <formula>P196="1"</formula>
    </cfRule>
    <cfRule type="expression" dxfId="17" priority="21" stopIfTrue="1">
      <formula>P196="3"</formula>
    </cfRule>
    <cfRule type="expression" dxfId="16" priority="22" stopIfTrue="1">
      <formula>K196&lt;0</formula>
    </cfRule>
  </conditionalFormatting>
  <conditionalFormatting sqref="K219">
    <cfRule type="expression" dxfId="15" priority="14" stopIfTrue="1">
      <formula>P219="1"</formula>
    </cfRule>
    <cfRule type="expression" dxfId="14" priority="15" stopIfTrue="1">
      <formula>P219="3"</formula>
    </cfRule>
    <cfRule type="expression" dxfId="13" priority="16" stopIfTrue="1">
      <formula>K219&lt;0</formula>
    </cfRule>
  </conditionalFormatting>
  <conditionalFormatting sqref="F44">
    <cfRule type="expression" dxfId="12" priority="13" stopIfTrue="1">
      <formula>K44&lt;0</formula>
    </cfRule>
  </conditionalFormatting>
  <conditionalFormatting sqref="G44">
    <cfRule type="expression" dxfId="11" priority="12" stopIfTrue="1">
      <formula>K44&lt;0</formula>
    </cfRule>
  </conditionalFormatting>
  <conditionalFormatting sqref="H44">
    <cfRule type="expression" dxfId="10" priority="11" stopIfTrue="1">
      <formula>K44&lt;0</formula>
    </cfRule>
  </conditionalFormatting>
  <conditionalFormatting sqref="I44">
    <cfRule type="expression" dxfId="9" priority="10" stopIfTrue="1">
      <formula>K44&lt;0</formula>
    </cfRule>
  </conditionalFormatting>
  <conditionalFormatting sqref="K44">
    <cfRule type="expression" dxfId="8" priority="7" stopIfTrue="1">
      <formula>P44="1"</formula>
    </cfRule>
    <cfRule type="expression" dxfId="7" priority="8" stopIfTrue="1">
      <formula>P44="3"</formula>
    </cfRule>
    <cfRule type="expression" dxfId="6" priority="9" stopIfTrue="1">
      <formula>K44&lt;0</formula>
    </cfRule>
  </conditionalFormatting>
  <conditionalFormatting sqref="K110">
    <cfRule type="expression" dxfId="5" priority="4" stopIfTrue="1">
      <formula>P110="1"</formula>
    </cfRule>
    <cfRule type="expression" dxfId="4" priority="5" stopIfTrue="1">
      <formula>P110="3"</formula>
    </cfRule>
    <cfRule type="expression" dxfId="3" priority="6" stopIfTrue="1">
      <formula>K110&lt;0</formula>
    </cfRule>
  </conditionalFormatting>
  <conditionalFormatting sqref="K144">
    <cfRule type="expression" dxfId="2" priority="1" stopIfTrue="1">
      <formula>P144="1"</formula>
    </cfRule>
    <cfRule type="expression" dxfId="1" priority="2" stopIfTrue="1">
      <formula>P144="3"</formula>
    </cfRule>
    <cfRule type="expression" dxfId="0" priority="3" stopIfTrue="1">
      <formula>K144&lt;0</formula>
    </cfRule>
  </conditionalFormatting>
  <pageMargins left="0.78740157480314965" right="0" top="0.98425196850393704" bottom="0.59055118110236227" header="0.51181102362204722" footer="0.19685039370078741"/>
  <pageSetup paperSize="9" scale="79" fitToHeight="0" orientation="landscape" r:id="rId1"/>
  <headerFooter>
    <oddHeader>&amp;L&amp;"Tahoma,Grassetto"&amp;10SO.GE.M.I.
RILANCIO E RIQUALIFICAZIONE MERCATI GENERALI DI MILANO&amp;C&amp;"Tahoma,Grassetto"&amp;10LOTTO 1.03
PIATTAFORMA AMBULANTI CARNE &amp;R&amp;"Tahoma,Grassetto"&amp;10PERIZIA DI VARIANTE
FONDAZIONE A PLATEA  E ALTRI ADEGUAMENTI</oddHeader>
    <oddFooter>&amp;L&amp;D&amp;R&amp;P/&amp;N</oddFooter>
  </headerFooter>
  <rowBreaks count="13" manualBreakCount="13">
    <brk id="37" min="1" max="17" man="1"/>
    <brk id="73" min="1" max="17" man="1"/>
    <brk id="96" min="1" max="17" man="1"/>
    <brk id="130" min="1" max="17" man="1"/>
    <brk id="165" min="1" max="17" man="1"/>
    <brk id="201" min="1" max="17" man="1"/>
    <brk id="285" min="1" max="17" man="1"/>
    <brk id="315" min="1" max="17" man="1"/>
    <brk id="344" min="1" max="17" man="1"/>
    <brk id="376" min="1" max="17" man="1"/>
    <brk id="407" min="1" max="17" man="1"/>
    <brk id="442" min="1" max="17" man="1"/>
    <brk id="475" min="1" max="17" man="1"/>
  </rowBreaks>
  <ignoredErrors>
    <ignoredError sqref="P5 G19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J10" sqref="J10"/>
    </sheetView>
  </sheetViews>
  <sheetFormatPr defaultColWidth="9.33203125" defaultRowHeight="10.5" customHeight="1" x14ac:dyDescent="0.15"/>
  <sheetData>
    <row r="1" spans="1:3" ht="10.5" customHeight="1" x14ac:dyDescent="0.15">
      <c r="A1" t="s">
        <v>3</v>
      </c>
      <c r="B1">
        <v>4</v>
      </c>
      <c r="C1">
        <v>0</v>
      </c>
    </row>
    <row r="2" spans="1:3" ht="10.5" customHeight="1" x14ac:dyDescent="0.15">
      <c r="A2" t="s">
        <v>2</v>
      </c>
    </row>
    <row r="3" spans="1:3" ht="10.5" customHeight="1" x14ac:dyDescent="0.15">
      <c r="A3" t="s">
        <v>1</v>
      </c>
    </row>
    <row r="4" spans="1:3" ht="10.5" customHeight="1" x14ac:dyDescent="0.15">
      <c r="A4" t="s">
        <v>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Misurazioni</vt:lpstr>
      <vt:lpstr>Misurazioni!Area_stampa</vt:lpstr>
      <vt:lpstr>Misurazioni!Titoli_stampa</vt:lpstr>
    </vt:vector>
  </TitlesOfParts>
  <Company>ACCA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ACCA</dc:creator>
  <cp:lastModifiedBy>enniopozzo</cp:lastModifiedBy>
  <cp:lastPrinted>2014-02-20T17:34:52Z</cp:lastPrinted>
  <dcterms:created xsi:type="dcterms:W3CDTF">2005-07-14T10:38:54Z</dcterms:created>
  <dcterms:modified xsi:type="dcterms:W3CDTF">2014-02-24T12:49:21Z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olution ID">
    <vt:lpwstr>None</vt:lpwstr>
  </property>
</Properties>
</file>