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a.poloni\Documents\COMMESSE\P969_Sogemi\lotto_103_piattaforma_a\variante_per_accordobonario\COMPUTI FINALI\"/>
    </mc:Choice>
  </mc:AlternateContent>
  <bookViews>
    <workbookView xWindow="0" yWindow="0" windowWidth="19440" windowHeight="8652" tabRatio="483"/>
  </bookViews>
  <sheets>
    <sheet name="CME variante - riepilogo" sheetId="3" r:id="rId1"/>
    <sheet name="CME variante - dettaglio" sheetId="1" r:id="rId2"/>
    <sheet name="Dati" sheetId="2" state="veryHidden" r:id="rId3"/>
  </sheets>
  <externalReferences>
    <externalReference r:id="rId4"/>
  </externalReferences>
  <definedNames>
    <definedName name="_xlnm._FilterDatabase" localSheetId="1" hidden="1">'CME variante - dettaglio'!$B$3:$Q$3</definedName>
    <definedName name="_xlnm.Print_Area" localSheetId="1">'CME variante - dettaglio'!$B$1:$R$474</definedName>
    <definedName name="_xlnm.Print_Titles" localSheetId="1">'CME variante - dettaglio'!$2:$3</definedName>
  </definedNames>
  <calcPr calcId="152511"/>
</workbook>
</file>

<file path=xl/calcChain.xml><?xml version="1.0" encoding="utf-8"?>
<calcChain xmlns="http://schemas.openxmlformats.org/spreadsheetml/2006/main">
  <c r="C24" i="3" l="1"/>
  <c r="K204" i="1" l="1"/>
  <c r="P204" i="1" s="1"/>
  <c r="O206" i="1" l="1"/>
  <c r="L206" i="1"/>
  <c r="K203" i="1"/>
  <c r="P203" i="1" s="1"/>
  <c r="P205" i="1"/>
  <c r="K202" i="1"/>
  <c r="P201" i="1"/>
  <c r="P200" i="1"/>
  <c r="K206" i="1" l="1"/>
  <c r="M206" i="1" s="1"/>
  <c r="P202" i="1"/>
  <c r="P98" i="1"/>
  <c r="M98" i="1"/>
  <c r="K108" i="1"/>
  <c r="K110" i="1" s="1"/>
  <c r="K104" i="1"/>
  <c r="P104" i="1" s="1"/>
  <c r="K102" i="1"/>
  <c r="P93" i="1"/>
  <c r="P206" i="1" l="1"/>
  <c r="P110" i="1"/>
  <c r="M110" i="1"/>
  <c r="M104" i="1"/>
  <c r="M93" i="1"/>
  <c r="P196" i="1"/>
  <c r="H195" i="1"/>
  <c r="K195" i="1" s="1"/>
  <c r="P195" i="1" s="1"/>
  <c r="P194" i="1"/>
  <c r="P193" i="1"/>
  <c r="P190" i="1"/>
  <c r="H189" i="1"/>
  <c r="K189" i="1" s="1"/>
  <c r="P188" i="1"/>
  <c r="P187" i="1"/>
  <c r="P183" i="1"/>
  <c r="P181" i="1"/>
  <c r="P180" i="1"/>
  <c r="P178" i="1"/>
  <c r="P176" i="1"/>
  <c r="H175" i="1"/>
  <c r="K175" i="1" s="1"/>
  <c r="P175" i="1" s="1"/>
  <c r="H174" i="1"/>
  <c r="K174" i="1" s="1"/>
  <c r="P174" i="1" s="1"/>
  <c r="K173" i="1"/>
  <c r="P173" i="1" s="1"/>
  <c r="K172" i="1"/>
  <c r="P172" i="1" s="1"/>
  <c r="P171" i="1"/>
  <c r="P170" i="1"/>
  <c r="P167" i="1"/>
  <c r="H166" i="1"/>
  <c r="K166" i="1" s="1"/>
  <c r="P166" i="1" s="1"/>
  <c r="H165" i="1"/>
  <c r="K165" i="1" s="1"/>
  <c r="P165" i="1" s="1"/>
  <c r="K164" i="1"/>
  <c r="P164" i="1" s="1"/>
  <c r="K163" i="1"/>
  <c r="P163" i="1" s="1"/>
  <c r="P162" i="1"/>
  <c r="P161" i="1"/>
  <c r="P158" i="1"/>
  <c r="H157" i="1"/>
  <c r="K157" i="1" s="1"/>
  <c r="P157" i="1" s="1"/>
  <c r="H156" i="1"/>
  <c r="K156" i="1" s="1"/>
  <c r="P156" i="1" s="1"/>
  <c r="K155" i="1"/>
  <c r="P155" i="1" s="1"/>
  <c r="K154" i="1"/>
  <c r="P154" i="1" s="1"/>
  <c r="P153" i="1"/>
  <c r="P152" i="1"/>
  <c r="P149" i="1"/>
  <c r="H148" i="1"/>
  <c r="K148" i="1" s="1"/>
  <c r="P148" i="1" s="1"/>
  <c r="H147" i="1"/>
  <c r="K147" i="1" s="1"/>
  <c r="P147" i="1" s="1"/>
  <c r="K146" i="1"/>
  <c r="P146" i="1" s="1"/>
  <c r="K145" i="1"/>
  <c r="P145" i="1" s="1"/>
  <c r="P144" i="1"/>
  <c r="P143" i="1"/>
  <c r="P141" i="1"/>
  <c r="K138" i="1"/>
  <c r="K140" i="1" s="1"/>
  <c r="P135" i="1"/>
  <c r="K132" i="1"/>
  <c r="K134" i="1" s="1"/>
  <c r="P129" i="1"/>
  <c r="H127" i="1"/>
  <c r="K127" i="1" s="1"/>
  <c r="P127" i="1" s="1"/>
  <c r="H126" i="1"/>
  <c r="K126" i="1" s="1"/>
  <c r="P126" i="1" s="1"/>
  <c r="K125" i="1"/>
  <c r="P125" i="1" s="1"/>
  <c r="K124" i="1"/>
  <c r="P124" i="1" s="1"/>
  <c r="G118" i="1"/>
  <c r="K118" i="1" s="1"/>
  <c r="K120" i="1" s="1"/>
  <c r="Q209" i="1" l="1"/>
  <c r="M140" i="1"/>
  <c r="P140" i="1"/>
  <c r="P120" i="1"/>
  <c r="M120" i="1"/>
  <c r="P134" i="1"/>
  <c r="M134" i="1"/>
  <c r="N209" i="1" s="1"/>
  <c r="P189" i="1"/>
  <c r="K191" i="1"/>
  <c r="K150" i="1"/>
  <c r="K159" i="1"/>
  <c r="K168" i="1"/>
  <c r="K177" i="1"/>
  <c r="K197" i="1"/>
  <c r="K128" i="1"/>
  <c r="M128" i="1" l="1"/>
  <c r="P128" i="1"/>
  <c r="P159" i="1"/>
  <c r="M159" i="1"/>
  <c r="P197" i="1"/>
  <c r="M197" i="1"/>
  <c r="P150" i="1"/>
  <c r="M150" i="1"/>
  <c r="H182" i="1"/>
  <c r="K182" i="1" s="1"/>
  <c r="P177" i="1"/>
  <c r="M177" i="1"/>
  <c r="P191" i="1"/>
  <c r="M191" i="1"/>
  <c r="P168" i="1"/>
  <c r="M168" i="1"/>
  <c r="K184" i="1" l="1"/>
  <c r="P182" i="1"/>
  <c r="P184" i="1" l="1"/>
  <c r="M184" i="1"/>
  <c r="C25" i="3" l="1"/>
  <c r="K82" i="1" l="1"/>
  <c r="K87" i="1"/>
  <c r="K86" i="1"/>
  <c r="K80" i="1"/>
  <c r="E112" i="1" l="1"/>
  <c r="K88" i="1"/>
  <c r="P82" i="1"/>
  <c r="P76" i="1"/>
  <c r="Q112" i="1" l="1"/>
  <c r="P88" i="1"/>
  <c r="M88" i="1"/>
  <c r="M82" i="1"/>
  <c r="P50" i="1"/>
  <c r="K47" i="1"/>
  <c r="K46" i="1"/>
  <c r="K39" i="1"/>
  <c r="K41" i="1" s="1"/>
  <c r="N112" i="1" l="1"/>
  <c r="K49" i="1"/>
  <c r="P49" i="1" s="1"/>
  <c r="P41" i="1"/>
  <c r="M41" i="1"/>
  <c r="M49" i="1" l="1"/>
  <c r="C23" i="3"/>
  <c r="E209" i="1"/>
  <c r="P208" i="1"/>
  <c r="P114" i="1"/>
  <c r="E464" i="1" l="1"/>
  <c r="P462" i="1"/>
  <c r="M462" i="1"/>
  <c r="P443" i="1"/>
  <c r="M443" i="1"/>
  <c r="P424" i="1"/>
  <c r="M424" i="1"/>
  <c r="P420" i="1"/>
  <c r="M420" i="1"/>
  <c r="P416" i="1"/>
  <c r="M416" i="1"/>
  <c r="K412" i="1"/>
  <c r="P412" i="1" s="1"/>
  <c r="P411" i="1"/>
  <c r="P410" i="1"/>
  <c r="P409" i="1"/>
  <c r="P408" i="1"/>
  <c r="K407" i="1"/>
  <c r="P407" i="1" s="1"/>
  <c r="P406" i="1"/>
  <c r="P405" i="1"/>
  <c r="P404" i="1"/>
  <c r="K401" i="1"/>
  <c r="K402" i="1" s="1"/>
  <c r="P400" i="1"/>
  <c r="P399" i="1"/>
  <c r="K395" i="1"/>
  <c r="K394" i="1"/>
  <c r="K393" i="1"/>
  <c r="K392" i="1"/>
  <c r="P391" i="1"/>
  <c r="P390" i="1"/>
  <c r="K386" i="1"/>
  <c r="K385" i="1"/>
  <c r="K384" i="1"/>
  <c r="P383" i="1"/>
  <c r="P382" i="1"/>
  <c r="K378" i="1"/>
  <c r="K377" i="1"/>
  <c r="K376" i="1"/>
  <c r="K375" i="1"/>
  <c r="P374" i="1"/>
  <c r="P373" i="1"/>
  <c r="K369" i="1"/>
  <c r="K368" i="1"/>
  <c r="K367" i="1"/>
  <c r="K366" i="1"/>
  <c r="K365" i="1"/>
  <c r="K364" i="1"/>
  <c r="P363" i="1"/>
  <c r="P362" i="1"/>
  <c r="K359" i="1"/>
  <c r="K360" i="1" s="1"/>
  <c r="P358" i="1"/>
  <c r="P357" i="1"/>
  <c r="K354" i="1"/>
  <c r="P354" i="1" s="1"/>
  <c r="P353" i="1"/>
  <c r="P352" i="1"/>
  <c r="P350" i="1"/>
  <c r="M350" i="1"/>
  <c r="K349" i="1"/>
  <c r="P349" i="1" s="1"/>
  <c r="P348" i="1"/>
  <c r="P347" i="1"/>
  <c r="K344" i="1"/>
  <c r="K345" i="1" s="1"/>
  <c r="P343" i="1"/>
  <c r="P342" i="1"/>
  <c r="K339" i="1"/>
  <c r="P339" i="1" s="1"/>
  <c r="P338" i="1"/>
  <c r="P337" i="1"/>
  <c r="K334" i="1"/>
  <c r="P334" i="1" s="1"/>
  <c r="P333" i="1"/>
  <c r="P332" i="1"/>
  <c r="K329" i="1"/>
  <c r="K330" i="1" s="1"/>
  <c r="M330" i="1" s="1"/>
  <c r="P328" i="1"/>
  <c r="P327" i="1"/>
  <c r="K324" i="1"/>
  <c r="K325" i="1" s="1"/>
  <c r="P323" i="1"/>
  <c r="P322" i="1"/>
  <c r="K319" i="1"/>
  <c r="P319" i="1" s="1"/>
  <c r="P318" i="1"/>
  <c r="P317" i="1"/>
  <c r="K315" i="1"/>
  <c r="P315" i="1" s="1"/>
  <c r="P314" i="1"/>
  <c r="P313" i="1"/>
  <c r="P312" i="1"/>
  <c r="P311" i="1"/>
  <c r="K310" i="1"/>
  <c r="M310" i="1" s="1"/>
  <c r="P309" i="1"/>
  <c r="P308" i="1"/>
  <c r="P307" i="1"/>
  <c r="P306" i="1"/>
  <c r="K305" i="1"/>
  <c r="M305" i="1" s="1"/>
  <c r="P304" i="1"/>
  <c r="P303" i="1"/>
  <c r="P302" i="1"/>
  <c r="P301" i="1"/>
  <c r="K300" i="1"/>
  <c r="P300" i="1" s="1"/>
  <c r="P299" i="1"/>
  <c r="P298" i="1"/>
  <c r="P297" i="1"/>
  <c r="P295" i="1"/>
  <c r="E293" i="1"/>
  <c r="K290" i="1"/>
  <c r="K291" i="1" s="1"/>
  <c r="K285" i="1"/>
  <c r="K286" i="1" s="1"/>
  <c r="K280" i="1"/>
  <c r="K281" i="1" s="1"/>
  <c r="K275" i="1"/>
  <c r="K276" i="1" s="1"/>
  <c r="K270" i="1"/>
  <c r="K271" i="1" s="1"/>
  <c r="K265" i="1"/>
  <c r="K266" i="1" s="1"/>
  <c r="K260" i="1"/>
  <c r="K261" i="1" s="1"/>
  <c r="K255" i="1"/>
  <c r="K256" i="1" s="1"/>
  <c r="K250" i="1"/>
  <c r="K251" i="1" s="1"/>
  <c r="K246" i="1"/>
  <c r="M246" i="1" s="1"/>
  <c r="P245" i="1"/>
  <c r="P244" i="1"/>
  <c r="P243" i="1"/>
  <c r="P242" i="1"/>
  <c r="K241" i="1"/>
  <c r="M241" i="1" s="1"/>
  <c r="P240" i="1"/>
  <c r="P239" i="1"/>
  <c r="P238" i="1"/>
  <c r="P237" i="1"/>
  <c r="K235" i="1"/>
  <c r="K236" i="1" s="1"/>
  <c r="K230" i="1"/>
  <c r="K231" i="1" s="1"/>
  <c r="K225" i="1"/>
  <c r="K226" i="1" s="1"/>
  <c r="K220" i="1"/>
  <c r="K221" i="1" s="1"/>
  <c r="K215" i="1"/>
  <c r="K216" i="1" s="1"/>
  <c r="P211" i="1"/>
  <c r="E74" i="1"/>
  <c r="K69" i="1"/>
  <c r="K71" i="1" s="1"/>
  <c r="K65" i="1"/>
  <c r="K66" i="1" s="1"/>
  <c r="K60" i="1"/>
  <c r="P60" i="1" s="1"/>
  <c r="P54" i="1"/>
  <c r="E52" i="1"/>
  <c r="P51" i="1"/>
  <c r="P34" i="1"/>
  <c r="K33" i="1"/>
  <c r="K35" i="1" s="1"/>
  <c r="P32" i="1"/>
  <c r="P31" i="1"/>
  <c r="P28" i="1"/>
  <c r="K27" i="1"/>
  <c r="K29" i="1" s="1"/>
  <c r="P26" i="1"/>
  <c r="P25" i="1"/>
  <c r="P23" i="1"/>
  <c r="K20" i="1"/>
  <c r="K22" i="1" s="1"/>
  <c r="P17" i="1"/>
  <c r="K14" i="1"/>
  <c r="K16" i="1" s="1"/>
  <c r="K8" i="1"/>
  <c r="K10" i="1" s="1"/>
  <c r="P4" i="1"/>
  <c r="C15" i="3"/>
  <c r="C7" i="3"/>
  <c r="C14" i="3" s="1"/>
  <c r="M412" i="1" l="1"/>
  <c r="M300" i="1"/>
  <c r="K380" i="1"/>
  <c r="P380" i="1" s="1"/>
  <c r="K371" i="1"/>
  <c r="M371" i="1" s="1"/>
  <c r="M60" i="1"/>
  <c r="P241" i="1"/>
  <c r="P305" i="1"/>
  <c r="P329" i="1"/>
  <c r="K388" i="1"/>
  <c r="M388" i="1" s="1"/>
  <c r="K335" i="1"/>
  <c r="P335" i="1" s="1"/>
  <c r="K397" i="1"/>
  <c r="M397" i="1" s="1"/>
  <c r="P22" i="1"/>
  <c r="M22" i="1"/>
  <c r="P35" i="1"/>
  <c r="M35" i="1"/>
  <c r="M66" i="1"/>
  <c r="P66" i="1"/>
  <c r="P216" i="1"/>
  <c r="M216" i="1"/>
  <c r="P236" i="1"/>
  <c r="M236" i="1"/>
  <c r="M251" i="1"/>
  <c r="P251" i="1"/>
  <c r="M271" i="1"/>
  <c r="P271" i="1"/>
  <c r="M291" i="1"/>
  <c r="P291" i="1"/>
  <c r="M10" i="1"/>
  <c r="P10" i="1"/>
  <c r="P71" i="1"/>
  <c r="M71" i="1"/>
  <c r="M221" i="1"/>
  <c r="P221" i="1"/>
  <c r="M256" i="1"/>
  <c r="P256" i="1"/>
  <c r="M276" i="1"/>
  <c r="P276" i="1"/>
  <c r="M345" i="1"/>
  <c r="P345" i="1"/>
  <c r="M360" i="1"/>
  <c r="P360" i="1"/>
  <c r="P402" i="1"/>
  <c r="M402" i="1"/>
  <c r="P29" i="1"/>
  <c r="M29" i="1"/>
  <c r="P16" i="1"/>
  <c r="M16" i="1"/>
  <c r="P226" i="1"/>
  <c r="M226" i="1"/>
  <c r="M261" i="1"/>
  <c r="P261" i="1"/>
  <c r="M281" i="1"/>
  <c r="P281" i="1"/>
  <c r="P325" i="1"/>
  <c r="M325" i="1"/>
  <c r="M231" i="1"/>
  <c r="P231" i="1"/>
  <c r="M266" i="1"/>
  <c r="P266" i="1"/>
  <c r="M286" i="1"/>
  <c r="P286" i="1"/>
  <c r="P27" i="1"/>
  <c r="P33" i="1"/>
  <c r="M315" i="1"/>
  <c r="P344" i="1"/>
  <c r="P401" i="1"/>
  <c r="M407" i="1"/>
  <c r="P246" i="1"/>
  <c r="P310" i="1"/>
  <c r="K320" i="1"/>
  <c r="P330" i="1"/>
  <c r="K340" i="1"/>
  <c r="K355" i="1"/>
  <c r="P324" i="1"/>
  <c r="P359" i="1"/>
  <c r="Q52" i="1" l="1"/>
  <c r="Q74" i="1"/>
  <c r="N74" i="1"/>
  <c r="C19" i="3" s="1"/>
  <c r="Q293" i="1"/>
  <c r="N52" i="1"/>
  <c r="N293" i="1"/>
  <c r="C21" i="3" s="1"/>
  <c r="M380" i="1"/>
  <c r="P371" i="1"/>
  <c r="P397" i="1"/>
  <c r="P388" i="1"/>
  <c r="M335" i="1"/>
  <c r="M320" i="1"/>
  <c r="P320" i="1"/>
  <c r="P355" i="1"/>
  <c r="M355" i="1"/>
  <c r="P340" i="1"/>
  <c r="M340" i="1"/>
  <c r="N464" i="1" l="1"/>
  <c r="N466" i="1" s="1"/>
  <c r="Q464" i="1"/>
  <c r="Q466" i="1" s="1"/>
  <c r="C28" i="3" s="1"/>
  <c r="C33" i="3" s="1"/>
  <c r="C36" i="3" s="1"/>
  <c r="C18" i="3"/>
  <c r="C22" i="3" l="1"/>
  <c r="C20" i="3"/>
  <c r="N468" i="1"/>
  <c r="C32" i="3" l="1"/>
  <c r="C30" i="3"/>
  <c r="C35" i="3" s="1"/>
  <c r="C38" i="3" s="1"/>
  <c r="N469" i="1"/>
  <c r="N472" i="1" s="1"/>
  <c r="N470" i="1" l="1"/>
</calcChain>
</file>

<file path=xl/connections.xml><?xml version="1.0" encoding="utf-8"?>
<connections xmlns="http://schemas.openxmlformats.org/spreadsheetml/2006/main">
  <connection id="1" name="Misurazioni" type="4" refreshedVersion="0" background="1">
    <webPr xml="1" sourceData="1" url="C:\Misurazioni.XML" htmlTables="1" htmlFormat="all"/>
  </connection>
</connections>
</file>

<file path=xl/sharedStrings.xml><?xml version="1.0" encoding="utf-8"?>
<sst xmlns="http://schemas.openxmlformats.org/spreadsheetml/2006/main" count="683" uniqueCount="389">
  <si>
    <t>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</si>
  <si>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t>
  </si>
  <si>
    <t>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</si>
  <si>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t>
  </si>
  <si>
    <t>Nr.</t>
  </si>
  <si>
    <t>DESIGNAZIONE DEI LAVORI</t>
  </si>
  <si>
    <t>D I M E N SI O N I</t>
  </si>
  <si>
    <t>Quantità</t>
  </si>
  <si>
    <t xml:space="preserve"> </t>
  </si>
  <si>
    <t xml:space="preserve">  </t>
  </si>
  <si>
    <t xml:space="preserve">   </t>
  </si>
  <si>
    <t>par. ug.</t>
  </si>
  <si>
    <t>lung.</t>
  </si>
  <si>
    <t>larg.</t>
  </si>
  <si>
    <t>H/Peso</t>
  </si>
  <si>
    <t xml:space="preserve">    </t>
  </si>
  <si>
    <t>T O T A L E  euro</t>
  </si>
  <si>
    <t>M I S U R A Z I O N I:</t>
  </si>
  <si>
    <t>SOMMANO m³</t>
  </si>
  <si>
    <t>SOMMANO kg</t>
  </si>
  <si>
    <t>WBS</t>
  </si>
  <si>
    <t>.</t>
  </si>
  <si>
    <t>ARTICOLO</t>
  </si>
  <si>
    <t>-</t>
  </si>
  <si>
    <t>U.M</t>
  </si>
  <si>
    <t>PREZZO</t>
  </si>
  <si>
    <t>IMPORTO</t>
  </si>
  <si>
    <t>PREZZO UNIT.</t>
  </si>
  <si>
    <t xml:space="preserve">   SICUREZZA €</t>
  </si>
  <si>
    <t>IMPORTO PARZ.</t>
  </si>
  <si>
    <t>SICUREZZA €</t>
  </si>
  <si>
    <t xml:space="preserve">  SICUREZZA €</t>
  </si>
  <si>
    <t xml:space="preserve"> UNITARIO €</t>
  </si>
  <si>
    <t xml:space="preserve"> PARZIALE €</t>
  </si>
  <si>
    <t xml:space="preserve"> TOTALE €</t>
  </si>
  <si>
    <t>IMPORTO TOT.</t>
  </si>
  <si>
    <t xml:space="preserve">TOTALE ONERI INTERNI DELLA SICUREZZA </t>
  </si>
  <si>
    <t>IMPORTO COMPLESSIVO DELL'OPERA</t>
  </si>
  <si>
    <t xml:space="preserve">IMPORTO LAVORI SOGGETTI A RIBASSO D'ASTA </t>
  </si>
  <si>
    <t>€</t>
  </si>
  <si>
    <t>0,02</t>
  </si>
  <si>
    <t>YA.1.E.03.02.02</t>
  </si>
  <si>
    <t>m³</t>
  </si>
  <si>
    <t>kg</t>
  </si>
  <si>
    <t>1C.04.150.0010.b</t>
  </si>
  <si>
    <t>Fondazioni armate in conglomerato cementizio (plinti, travi rovesce, platee), realizzate mediante getto, con l'ausilio di gru o qualsiasi altro mezzo di movimentazione, di calcestruzzo confezionato in impianto di betonaggio, con inerti ad assortimento granulometrico adeguato alla particolare destinazione del getto e diametro massimo degli stessi pari a 31,5 mm, compresa la vibratura, esclusi i casseri ed il ferro; resistenza: - Rck = 35 N/mm² - esposizione XC1 o XC2 - consistenza S3</t>
  </si>
  <si>
    <t>1C.04.370.0010</t>
  </si>
  <si>
    <t>Sovrapprezzo ai calcestruzzi in opera (da 1C.04.050 a 1C.04.300) per lo scarico di conglomerato cementizio preconfezionato effettuato con l'utilizzo di pompa, in aggiunta alla normale esecuzione del getto con l'ausilio di gru o altro mezzo di sollevamento</t>
  </si>
  <si>
    <t>1C.04.350.0030.a</t>
  </si>
  <si>
    <t xml:space="preserve">Riferimento prezziario Comune di Milano edizione 2011 / 2013 </t>
  </si>
  <si>
    <t>totale scontato (50,999%)</t>
  </si>
  <si>
    <t>1C.04.450.0020</t>
  </si>
  <si>
    <t>Rete di acciaio elettrosaldata in opera compreso tagli, sfridi, legature</t>
  </si>
  <si>
    <t>massetto pavimentazione (diam. 6 maglia 20 x 20)</t>
  </si>
  <si>
    <t>soletta su vespaio aerato (extra spessore)</t>
  </si>
  <si>
    <t>1C.05.500.0020.e</t>
  </si>
  <si>
    <t>Formazione di vespaio formato da un sottofondo di appoggio degli elementi in plastica dello spessore di cm 8 con calcestruzzo Rck = 15 N/mm³, posa degli elementi in plastica a perdere nelle varie altezze, getto di riempimento con calcestruzzo Rck 25 N/mm², fino a costituire una solettina superiore dello spessore minimo di 3 cm. Esclusa eventuale armatura in ferro e i bordi di contenimento se necessari. Comprese tutte le attività ed i materiali necessari a dare l'opera finita in ogni sua parte. - altezza elementi cm 60</t>
  </si>
  <si>
    <t>SOMMANO m²</t>
  </si>
  <si>
    <r>
      <t>m</t>
    </r>
    <r>
      <rPr>
        <sz val="8"/>
        <rFont val="Calibri"/>
        <family val="2"/>
      </rPr>
      <t>²</t>
    </r>
  </si>
  <si>
    <t>vespaio con igloo nella zona di passaggio tra punti vendita e area servizi igienici</t>
  </si>
  <si>
    <t>ADEGUAMENTO SCAVI E RINTERRI PERIMETRALI PER IMPIANTI</t>
  </si>
  <si>
    <t>1C.02.100.0040.b</t>
  </si>
  <si>
    <t>Scavo a sezione obbligata a pareti verticali, eseguito a macchina fino a 3.00 m di profondità, di materie di qualsiasi natura e consistenza, asciutte, bagnate, melmose, esclusa la roccia ma inclusi i trovanti o i relitti di murature fino a 0.750 m³, comprese le opere provvisionali di segnalazione e protezione, le sbadacchiature leggere ove occorrenti: - con carico e trasporto delle terre ad impianti di stoccaggio, di recupero o a discarica; esclusi oneri di smaltimento.</t>
  </si>
  <si>
    <t>1C.02.350.0010.a</t>
  </si>
  <si>
    <t>Rinterro di scavi con mezzi meccanici con carico, trasporto e scarico al luogo d'impiego, spianamenti e costipazione a strati non superiori a 50 cm, bagnatura e ricarichi: - con terre depositate nell'ambito del cantiere</t>
  </si>
  <si>
    <t>1C.02.350.0010.f</t>
  </si>
  <si>
    <t>Rinterro di scavi con mezzi meccanici con carico, trasporto e scarico al luogo d'impiego, spianamenti e costipazione a strati non superiori a 50 cm, bagnatura e ricarichi: con materiali per rilevati stradali provenienti anche da demolizioni, del tipo MC.01.050.0050</t>
  </si>
  <si>
    <t>area manufatti rinvenuti (ex macello sotto fondoscavo)</t>
  </si>
  <si>
    <t>1M.04.060.0040.d</t>
  </si>
  <si>
    <t>Contatori d'acqua fredda e calda a turbina PN16 con lettura diretta a quadrante asciutto e trasmettitore di impulsi.
Grandezze: DN 32</t>
  </si>
  <si>
    <t>n</t>
  </si>
  <si>
    <t>ADEGUAMENTI IMPIANTI ELETTRICI</t>
  </si>
  <si>
    <t>1E.01.010.0085.c</t>
  </si>
  <si>
    <t>Fornitura e posa di corda di rame nuda per impianto di terra, compresi i collegamenti e giunzioni ed ogni altro componente necessario per l'esecuzione a regola d'arte di sezione: 35 mmq</t>
  </si>
  <si>
    <t>SOMMANO m</t>
  </si>
  <si>
    <t>m</t>
  </si>
  <si>
    <t>0,05</t>
  </si>
  <si>
    <t>1E.01.020.0040</t>
  </si>
  <si>
    <t xml:space="preserve">Morsetto in ottone per dispersori tondi con collegamento a tondi 8-10 mm o sezione 95 mmq, diametro 20 mm </t>
  </si>
  <si>
    <t>SOMMANO cad</t>
  </si>
  <si>
    <t>cad</t>
  </si>
  <si>
    <t>Integrazione maglia di terra con collegamento delle reti pavimentazioni e all'edificio limitrofo</t>
  </si>
  <si>
    <t/>
  </si>
  <si>
    <t>1E.06.020.0440.b</t>
  </si>
  <si>
    <t>Complesso per lampada a scarica, grado di protezione IP55, con alimentatore a 230 V - 50 Hz, corpo in pressofusione di lega leggera, telaio reggivetro incernierato, vetro trasparente, riflettore in alluminio purissimo brillantato con staffa metallica di sostegno ed orientamento, per installazione in cassetta o quadro; compreso accenditore, condensatore, lampada, valvola e fusibile;
nelle seguenti potenze: - joduri metallici 250-400 W</t>
  </si>
  <si>
    <t>1E.06.050.0020.b</t>
  </si>
  <si>
    <t>Apparecchi illuminanti e proiettori conforme alla Legge Regionale Lombardia n. 17/00 e s.m.i. - apparecchio illuminante chiuso a palo da 250 W - 230 V a vapori di sodio (Na) ad alta pressione, completo di lampada classe II</t>
  </si>
  <si>
    <t>apparecchi non adeguati per il perimetro esterno</t>
  </si>
  <si>
    <t>apparecchi sostituiti</t>
  </si>
  <si>
    <t>1E.02.010.0050.l</t>
  </si>
  <si>
    <t>1E.02.010.0050.n</t>
  </si>
  <si>
    <t>Guaina di raccordo tra canale di distribuzione generale e quadro elettrico per ciascun box venditore</t>
  </si>
  <si>
    <t>Guaina di raccordo tra canale di distribuzione generale e quadro elettrico per box venditore</t>
  </si>
  <si>
    <t>1E.02.040.0040.g</t>
  </si>
  <si>
    <t>Cavo tripolare flessibile 0.6/1 kV di rame isolato con gomma HEPR ad alto modulo e guaina in PVC speciale qualità Rz, non propagante l'incendio, a norme CEI 20-22 II, a contenuta emissione di gas corrosivi a norma CEI 20-37 II, tipo FG7OR e/o RG7OR
 - 3x25mm²</t>
  </si>
  <si>
    <t>ml</t>
  </si>
  <si>
    <t>1E.02.040.0040.h</t>
  </si>
  <si>
    <t>Cavo tripolare flessibile 0.6/1 kV di rame isolato con gomma HEPR ad alto modulo e guaina in PVC speciale qualità Rz, non propagante l'incendio, a norme CEI 20-22 II, a contenuta emissione di gas corrosivi a norma CEI 20-37 II, tipo FG7OR e/o RG7OR
 - 3x35mm²</t>
  </si>
  <si>
    <t>1E.02.040.0040.i</t>
  </si>
  <si>
    <t>Cavo tripolare flessibile 0.6/1 kV di rame isolato con gomma HEPR ad alto modulo e guaina in PVC speciale qualità Rz, non propagante l'incendio, a norme CEI 20-22 II, a contenuta emissione di gas corrosivi a norma CEI 20-37 II, tipo FG7OR e/o RG7OR
- 3x50 mm²</t>
  </si>
  <si>
    <t>32</t>
  </si>
  <si>
    <t>1E.02.040.0060.f</t>
  </si>
  <si>
    <t>Cavo pentapolare flessibile 0.6/1 kV di rame isolato con gomma HEPR ad alto modulo e guaina in PVC speciale qualità Rz, non propagante l'incendio, a norme CEI 20-22 II, a contenuta emissione di gas corrosivi a norma CEI 20-37 II, tipo FG7OR e/o RG7OR
 - 5x16 mm²</t>
  </si>
  <si>
    <t>quantità già contabilizzata</t>
  </si>
  <si>
    <t>Variante (tratta da QAC1.1 a Q. Contatore/Cabina)</t>
  </si>
  <si>
    <t>Variante (tratta da QAC1.2 a Q. Contatore/Cabina)</t>
  </si>
  <si>
    <t>Variante (tratta da QAC1.3 a Q. Contatore/Cabina)</t>
  </si>
  <si>
    <t>Variante (tratta da QAC1.4 a Q. Contatore/Cabina)</t>
  </si>
  <si>
    <t>Variante (tratta da QAC2.2 a Q. Contatore/Cabina)</t>
  </si>
  <si>
    <t>Variante (tratta da QAC3.1 a Q. Contatore/Cabina)</t>
  </si>
  <si>
    <t>Variante (tratta da QAC2.1 a Q. Contatore/Cabina)</t>
  </si>
  <si>
    <t>Variante (tratta da QAC5 a Q. Contatore/Cabina)</t>
  </si>
  <si>
    <t>Variante (tratta da QAC5.2 a Q. Contatore/Cabina)</t>
  </si>
  <si>
    <t>Variante (tratta da QAC5.3 a Q. Contatore/Cabina)</t>
  </si>
  <si>
    <t>M I S U R A Z I O N I:  (quantità sottostimata in progetto)</t>
  </si>
  <si>
    <t>Variante (tratta da QAC4.1 a Q. Contatore/Cabina)</t>
  </si>
  <si>
    <t>Variante (tratta da QAC4.2 a Q. Contatore/Cabina)</t>
  </si>
  <si>
    <t>Variante (tratta da QAC6 a Q. Contatore/Cabina)</t>
  </si>
  <si>
    <t>Variante (tratta da QAC1.5 a Q. Contatore/Cabina)</t>
  </si>
  <si>
    <t>Variante (tratta da QAC1.6 a Q. Contatore/Cabina)</t>
  </si>
  <si>
    <t>Variante (tratta da QAC1.7 a Q. Contatore/Cabina)</t>
  </si>
  <si>
    <t>Variante (tratta da QAC1.8 a Q. Contatore/Cabina)</t>
  </si>
  <si>
    <t>1E.01.030.0230.c</t>
  </si>
  <si>
    <t>Supporto in acciaio zincato a caldo, per tondo diam 8÷10 mm e piatto da 30 mm con vite per fissaggio su pareti in legno, nelle lunghezze - 150 mm</t>
  </si>
  <si>
    <t>1E.01.030.0290.a</t>
  </si>
  <si>
    <t>Barra di adduzione in acciaio zincato a caldo per immersione dopo lavorazione, diam 16 mm con una estremità bombata e l'altra piatta con 2 fori diam 12 mm, interasse 22 mm, nelle lunghezze: 1000 mm</t>
  </si>
  <si>
    <t>sistema fissaggio in opera canale impianti elettrici distribuzione principale</t>
  </si>
  <si>
    <t>1E.03.070.0230.a</t>
  </si>
  <si>
    <t>Centralino elettrico da parete in resina, grado di protezione IP65, doppio isolamento, completo di porta trasparente intelaiatura interna per il fissaggio delle apparecchiature elettriche modulari, predisposti per  alloggiamento morsettiera, etichette identificatici targhetta autoadesiva, accessori meccanici di fissaggio, nelle tipologie: da 24 moduli</t>
  </si>
  <si>
    <t>1E.03.040.0040.d</t>
  </si>
  <si>
    <t>1E.03.030.0120.j</t>
  </si>
  <si>
    <t>Interruttore automatico magnetotermico modulare, curva C, con modulo di 17,5 mm e conforme norme CEI 23-3, potere d'interruzione pari a 10 kA, tipologie: tetrapolare con In 80 A</t>
  </si>
  <si>
    <t>1E.03.040.0060.g</t>
  </si>
  <si>
    <t>Interruttore con sganciatori magnetotermici con Im=10 o 5 Ith, termica regolabile, conforme norme CEI-EN 60947-2, in scatola isolante di elevata resistenza meccanica, manovra manuale indipendente con leva frontale e  segnalazione aperto/chiuso e intervento sganciatori; tensione di esercizio 400V - 50Hz esecuzione fissa con attacchi anteriori, potere d'interruzione 36 KA, nelle tipologie:4P In 125 A</t>
  </si>
  <si>
    <t>ADEGUAMENTI AREA BAGNI E IMPIANTI IDRICI</t>
  </si>
  <si>
    <t>1C.12.010.0030.c</t>
  </si>
  <si>
    <t>Fornitura e posa tubi in PVC compatto o strutturato, per condotte di scarico interrate, o suborizzontali appoggiate, con giunti a bicchiere ed anello elastomerico, secondo UNI EN 1446, colore rosso mattone RAL 8023. Temperatura massima permanente 40°. Tubi con classe di rigidità SN 2 KN/m². Escluso scavo, piano appoggio, rinfianco e riempimento. Diametro esterno (De) e spessore (s): - De 250 - s = 4,9</t>
  </si>
  <si>
    <t>1C.12.010.0030.b</t>
  </si>
  <si>
    <t>Fornitura e posa tubi in PVC compatto o strutturato, per condotte di scarico interrate, o suborizzontali appoggiate, con giunti a bicchiere ed anello elastomerico, secondo UNI EN 1446, colore rosso mattone RAL 8023. Temperatura massima permanente 40°. Tubi con classe di rigidità SN 2 KN/m². Escluso scavo, piano appoggio, rinfianco e riempimento. Diametro esterno (De) e spessore (s): - De 200 - s = 3,9</t>
  </si>
  <si>
    <t>quantità in più per spostamento desoleatore</t>
  </si>
  <si>
    <t>maggiore quantità di scavo come da contabilizzazione in contraddittorio</t>
  </si>
  <si>
    <t>maggiore quantità di rinterro come da contabilizzazione in contraddittorio</t>
  </si>
  <si>
    <t>1E.06.020.0010.f</t>
  </si>
  <si>
    <t>Lampada fluorescente linea a catodo caldo nei tipi: 58W elevata resa cromatica</t>
  </si>
  <si>
    <t>lampate fluorescenti da 58W per illuminazione esterna pensilina</t>
  </si>
  <si>
    <t>P.A.11</t>
  </si>
  <si>
    <t>apparecchio illuminazione cella BT</t>
  </si>
  <si>
    <t>1E.06.020.0335.d</t>
  </si>
  <si>
    <t>Illuminazione esterna pensilina carico/scarico</t>
  </si>
  <si>
    <t>SOMMANO n</t>
  </si>
  <si>
    <t>1E.06.020.0350</t>
  </si>
  <si>
    <t>Sospensione per apparecchi di illuminazione a fluorescenza, costituita da una coppia di tiges aventi lunghezza massima m e da una vaschetta copri connessioni in lamiera sagomata a verniciata.</t>
  </si>
  <si>
    <t>per analogia staffe di fissaggio e di inclinazione 15° plaf. Fluorescenti 2*58W per ill. esterna pensilina</t>
  </si>
  <si>
    <t>1E.03.030.0370.o</t>
  </si>
  <si>
    <t>Blocco differenziale modulare componibile con interruttori magnetotermici, con certificato di prove e collaudo; involucro di materiale isolante modulare; adatto per il montaggio su guida profilata, manovra indipendente con levette frontali per il riarmo e la segnalazione d'intervento per guasto a terra, classe AC istantanei, nelle tipologie: 4P 63 A sensibilità 0,3 A</t>
  </si>
  <si>
    <t>1M.11.100.0020.c</t>
  </si>
  <si>
    <t>n. 3 wc disabili</t>
  </si>
  <si>
    <t>1M.11.060.0030.a</t>
  </si>
  <si>
    <t>Lavatoi in fire-clay colore bianco: - da 60 x 50 cm circa, completo di mensole</t>
  </si>
  <si>
    <t>lavabi punti vendita non a norma da sostituire</t>
  </si>
  <si>
    <t>NP 01Mecc</t>
  </si>
  <si>
    <t>lavabi punti vendita conformi alla norma</t>
  </si>
  <si>
    <t>1M.11.080.0070</t>
  </si>
  <si>
    <t>Sostegno di sicurezza da parete a pavimento, Ø 33 mm, con rivestimento in nylon ed anima in acciaio trattato anticorrosione o in alluminio, in opera</t>
  </si>
  <si>
    <t>Per Analogia - sostegno eterno parete per ancoraggio lavabi</t>
  </si>
  <si>
    <t>1C.12.010.0060.i</t>
  </si>
  <si>
    <t>Fornitura e posa di curve aperte e chiuse per tubi in PVC (rif. 1C.12.010.0010), con bicchiere ad incollaggio, per ventilazione e pluviali: serie 301 (UNI 7443 + F.A. 178) - UNI EN 1329 - Diametro esterno (De) e tipo curva: - De 160, curva aperta 45°</t>
  </si>
  <si>
    <t>pluviali modificati - parti in meno</t>
  </si>
  <si>
    <t>1C.12.010.0060.c</t>
  </si>
  <si>
    <t>Fornitura e posa di curve aperte e chiuse per tubi in PVC (rif. 1C.12.010.0010), con bicchiere ad incollaggio, per ventilazione e pluviali: serie 301 (UNI 7443 + F.A. 178) - UNI EN 1329 - Diametro esterno (De) e tipo curva:- De 100, curva aperta 45°</t>
  </si>
  <si>
    <t>pluviali modificati - parti nuove in aggiunta</t>
  </si>
  <si>
    <t>1C.12.010.0070.e</t>
  </si>
  <si>
    <t>Fornitura e posa braghe a 45°, 67,5° e TE semplici per tubi in PVC
(rif. 1C.12.010.0010), con bicchiere ad incollaggio, per ventilazione
e pluviali: serie 301 (UNI 7443 + F.A. 178) - UNI EN 1329 - Diametro
esterno (De) e spessore (p):- De 160 - s = 2,6</t>
  </si>
  <si>
    <t>1C.12.010.0070.b</t>
  </si>
  <si>
    <t>Fornitura e posa braghe a 45°, 67,5° e TE semplici per tubi in PVC (rif.
1C.12.010.0010), con bicchiere ad incollaggio, per ventilazione e
pluviali: serie 301 (UNI 7443 + F.A. 178) - UNI EN 1329 - Diametro
esterno (De) e spessore (p):- De 100 - s = 1,7</t>
  </si>
  <si>
    <t>1C.12.010.0010.i</t>
  </si>
  <si>
    <t>Fornitura e posa tubi in PVC, con bicchiere ad incollaggio, per ventilazione e pluviali, serie 301 (UNI 7443 + F.A. 178) - UNI EN 1329. Colori avorio, grigio (Ral 7037), marrone (Ral 8017) - compresi gli oneri di fissaggio a pareti e soffitti e di attraversamento delle strutture. Diametro esterno (De) e spessore (s): - De 160 - s = 2,6</t>
  </si>
  <si>
    <t>1C.12.010.0010.f</t>
  </si>
  <si>
    <t>Fornitura e posa tubi in PVC, con bicchiere ad incollaggio, per ventilazione e pluviali, serie 301 (UNI 7443 + F.A. 178) - UNI EN 1329. Colori avorio, grigio (Ral 7037), marrone (Ral 8017) - compresi gli oneri di fissaggio a pareti e soffitti e di attraversamento delle strutture. Diametro esterno (De) e spessore (s):- De 100 - s = 1,7</t>
  </si>
  <si>
    <t>pluviali modificati - parti nuove in aggiunta - pluviali</t>
  </si>
  <si>
    <t>1C.12.020.0060.d</t>
  </si>
  <si>
    <t>Riduzione concentrica per tubo in polietilene alta densità (PEAD) malleabilizzato per condotte di scarico acque civili e industriale, colore nero, conforme norme UNI 7613 tipo 303, con marchio di controllo qualità, da giuntare mediante saldatura o con manicotti elettrici; diametro esterno 1 (De1 ) / diametro esterno 2 (De2): - De1 / De2 = 160/110-125 mm</t>
  </si>
  <si>
    <t>1E.02.040.0020.g</t>
  </si>
  <si>
    <t>Cavo unipolare flessibile 0.6/1 kV di rame isolato con gomma HEPR ad alto modulo e guaina in PVC speciale qualità R2, non propagante l'incendio, a norme CEI 20-22 II, a contenuta emissione di gas corrosivi a norma CEI 20-37 II, tipo FG7R e/o RG7R
 - 25 mm²</t>
  </si>
  <si>
    <t>Tratte da quadro box a quadro contatori/cabina</t>
  </si>
  <si>
    <t>1E.02.010.0020.d</t>
  </si>
  <si>
    <t>Tubazione plastica rigida con marchio IMQ tipo autoest. a norme CEI-EN 50086-1-2-3 per installazione a vista compresi anche gli accessori di fissaggio. - diam. 32mm</t>
  </si>
  <si>
    <t>1E.02.010.0020.c</t>
  </si>
  <si>
    <t>Tubazione plastica rigida con marchio IMQ tipo autoest. a norme CEI-EN 50086-1-2-3 per installazione a vista compresi anche gli accessori di fissaggio. - diam. 25mm</t>
  </si>
  <si>
    <t>1E.02.010.0020.a</t>
  </si>
  <si>
    <t>Tubazione plastica rigida con marchio IMQ tipo autoest. a norme CEI-EN 50086-1-2-3 per installazione a vista compresi anche gli accessori di fissaggio. - diam. 16mm</t>
  </si>
  <si>
    <t>quantità reali in più (da dettagliare)</t>
  </si>
  <si>
    <t>E 01</t>
  </si>
  <si>
    <t>E 02</t>
  </si>
  <si>
    <t>E 03</t>
  </si>
  <si>
    <t>E 05</t>
  </si>
  <si>
    <t>E 04</t>
  </si>
  <si>
    <t>E 06</t>
  </si>
  <si>
    <t>E 07</t>
  </si>
  <si>
    <t>E 08</t>
  </si>
  <si>
    <t>E 09</t>
  </si>
  <si>
    <t>E 10</t>
  </si>
  <si>
    <t>E 11</t>
  </si>
  <si>
    <t>E 12</t>
  </si>
  <si>
    <t>E 13</t>
  </si>
  <si>
    <t>E 14</t>
  </si>
  <si>
    <t>E 15</t>
  </si>
  <si>
    <t>E 16</t>
  </si>
  <si>
    <t>E 17</t>
  </si>
  <si>
    <t>E 18</t>
  </si>
  <si>
    <t>E 19</t>
  </si>
  <si>
    <t>E 20</t>
  </si>
  <si>
    <t>E 21</t>
  </si>
  <si>
    <t>E22</t>
  </si>
  <si>
    <t>E 23</t>
  </si>
  <si>
    <t>E 24</t>
  </si>
  <si>
    <t>E 25</t>
  </si>
  <si>
    <t>E</t>
  </si>
  <si>
    <t>Importo €</t>
  </si>
  <si>
    <t>importo a base di gara</t>
  </si>
  <si>
    <t>oneri per la sicurezza interni</t>
  </si>
  <si>
    <t>oneri per la sicurezza esterni</t>
  </si>
  <si>
    <t>sconto</t>
  </si>
  <si>
    <t>Importo contrattuale complessivo iniziale</t>
  </si>
  <si>
    <t>importo opere in variante per nuova fondazione a platea</t>
  </si>
  <si>
    <t>importo oneri per la sicurezza relativi ai lavori variante PLATEA</t>
  </si>
  <si>
    <t>oneri per fermo cantiere</t>
  </si>
  <si>
    <t>importo opere aggiuntive per realizzazione cabina MT/BT</t>
  </si>
  <si>
    <t>importo oneri per la sicurezza relativi alle opere aggiuntive per realizzazione cabina MT/BT</t>
  </si>
  <si>
    <t>di cui per oneri della sicurezza</t>
  </si>
  <si>
    <t>il direttore dei lavori</t>
  </si>
  <si>
    <t>dott. ing. Andrea Poloni</t>
  </si>
  <si>
    <t>Voci prima variante</t>
  </si>
  <si>
    <t>IMPORTO TOTALE LAVORI COMPRENSIVI DELLA PRIMA VARIANTE</t>
  </si>
  <si>
    <t>VOCI SECONDA VARIANTE</t>
  </si>
  <si>
    <t>I 01</t>
  </si>
  <si>
    <t>I 02</t>
  </si>
  <si>
    <t>I 03</t>
  </si>
  <si>
    <t>I 04</t>
  </si>
  <si>
    <t>I 05</t>
  </si>
  <si>
    <t>I 06</t>
  </si>
  <si>
    <t>I 07</t>
  </si>
  <si>
    <t>I 08</t>
  </si>
  <si>
    <t>I 09</t>
  </si>
  <si>
    <t>I 10</t>
  </si>
  <si>
    <t>I 11</t>
  </si>
  <si>
    <t>I 12</t>
  </si>
  <si>
    <t>I 13</t>
  </si>
  <si>
    <t>I 14</t>
  </si>
  <si>
    <t>1C.12.020.0020.f</t>
  </si>
  <si>
    <t>Fornitura e posa tubi in polietilene alta densità (PEAD) PE 63 - PN 3,2 per condotte di scarico acque civili e industriale, colore nero, conforme norme UNI 7613 tipo 303, da giuntare mediante saldatura. Escluso scavo, piano appoggio, rinfianco e riempimento. Diametro esterno (De) e spessore (s): - De 200 - s = 6,2</t>
  </si>
  <si>
    <t>tratta di lunghezza aumentata a causa del riposizionamento desoleatore</t>
  </si>
  <si>
    <t>1C.12.020.0010.f</t>
  </si>
  <si>
    <t>Fornitura e posa tubi in polietilene alta densità (PEAD) malleabilizzato per condotte di scarico acque civili e industriale, libere o interrate, colore nero, conforme norme UNI 7613 tipo 303, da giuntare mediante saldatura; compresi gli oneri di fissaggio a pareti e soffitti e di attraversamento delle strutture. Diametro esterno (De) e spessore (s): - De 75 - s = 3,0</t>
  </si>
  <si>
    <t>I</t>
  </si>
  <si>
    <t>IMPORTO TOTALE SECONDA VARIANTE</t>
  </si>
  <si>
    <t>P 01</t>
  </si>
  <si>
    <t>P 02</t>
  </si>
  <si>
    <t>P 03</t>
  </si>
  <si>
    <t>Fondazioni non armate in conglomerato cementizio realizzate mediante getto, con l'ausilio di gru o qualsiasi altro mezzo di movimentazione, di calcestruzzo confezionato in impianto di betonaggio, con inerti ad assortimento granulometrico adeguato alla particolare destinazione del getto, compresa vibratura, esclusi i casseri; resistenza C16/20 – esposizione X0 - consistenza S3</t>
  </si>
  <si>
    <t>1C.04.100.0010</t>
  </si>
  <si>
    <t>area perimetro fino a bordo fondazione - lati nord e sud</t>
  </si>
  <si>
    <t>area perimetro oltre bordo fondazione - lati nord e sud</t>
  </si>
  <si>
    <t>area perimetro - lato est</t>
  </si>
  <si>
    <t>area perimetro - lato ovest</t>
  </si>
  <si>
    <t>P 04</t>
  </si>
  <si>
    <t>Sovrapprezzo alle opere in conglomerato cementizio per impiego di calcestruzzo preconfezionato di tipo diverso rispetto al tipo S3 considerato nei prezzi precedenti : per classe di consistenza S5 superfluido, slump maggiore di 210 mm</t>
  </si>
  <si>
    <t>P 05</t>
  </si>
  <si>
    <t>P 06</t>
  </si>
  <si>
    <t>P 07</t>
  </si>
  <si>
    <t>Vibratura del calcestruzzo mediante vibratore ad immersione compreso mano d'opera, piani di lavoro, nolo dell'attrezzatura, consumo di energia elettrica. Onere già compreso in tutti i prezzi dei calcestruzzi in opera (da 1C.04.050 ad 1C.04.300)</t>
  </si>
  <si>
    <t>P 08</t>
  </si>
  <si>
    <t>rete di consolidamento getti magrone (diam. 6 maglia 15 x 15)</t>
  </si>
  <si>
    <t>P 09</t>
  </si>
  <si>
    <t>P 10</t>
  </si>
  <si>
    <t>P 11</t>
  </si>
  <si>
    <t>1U.04.110.0150</t>
  </si>
  <si>
    <t>A 01</t>
  </si>
  <si>
    <t>A 02</t>
  </si>
  <si>
    <t>A 03</t>
  </si>
  <si>
    <t>A 04</t>
  </si>
  <si>
    <t>A 05</t>
  </si>
  <si>
    <t xml:space="preserve">utilizzo della pompa per getto magrone di tutta la platea </t>
  </si>
  <si>
    <t>Nuovo CME cabine elettrica trasformazione</t>
  </si>
  <si>
    <t>1C.04.050.0010.b</t>
  </si>
  <si>
    <t>Sottofondazioni in conglomerato cementizio realizzate mediante getto, con l'ausilio di gru o qualsiasi altro mezzo di movimentazione, di calcestruzzo confezionato in impianto di betonaggio, con cemento 32.5 R ed inerti ad assortimento granulometrico adeguato alla particolare destinazione del getto; resistenza: - Rck = 20 N/mm² - esposizione X0 - consistenza S3</t>
  </si>
  <si>
    <t>A 06</t>
  </si>
  <si>
    <t>A 07</t>
  </si>
  <si>
    <t>area deposito bombole</t>
  </si>
  <si>
    <t>ADEGUAMENTO SOLETTA VESPAIO AERATO E ALTRE OPERE DI FONDAZIONE</t>
  </si>
  <si>
    <t>C 01</t>
  </si>
  <si>
    <t>C 03</t>
  </si>
  <si>
    <t>C 02</t>
  </si>
  <si>
    <t>Adeguamenti soletta vespaio aerato e altre opere di fondazione</t>
  </si>
  <si>
    <t>Adeguamento scavi e rinterri perimetrali per impianti</t>
  </si>
  <si>
    <t>Deduzione precedente computo (variante 1) cabina</t>
  </si>
  <si>
    <t>P.A.08</t>
  </si>
  <si>
    <t>maggiore quantità dovuta ed errore di computo</t>
  </si>
  <si>
    <t>1C.14.050.0020.c</t>
  </si>
  <si>
    <t>Canali di gronda completi di cicogne o tiranti; pluviali, compresa la posa dei braccioli; converse, scossaline, copertine. Tutti lavorati con sagome e sviluppi normali, in opera, comprese le assistenze murarie e accessori di fissaggio. Esclusi i pezzi speciali di gronde, pluviali, lattonerie speciali; in: - lamiera zincata preverniciata spess. 0,8 mm (peso = 6,50 kg/m²)</t>
  </si>
  <si>
    <t>maggiore quantità relative ad integrazioni disposte in corso d'opera per tamponamento parte sommitale fronte est</t>
  </si>
  <si>
    <t>D 01</t>
  </si>
  <si>
    <t>D 02</t>
  </si>
  <si>
    <t>differenza netta in aumento</t>
  </si>
  <si>
    <t>IMPORTO CONTRATTUALE TOTALE LAVORI AGGIORNATO</t>
  </si>
  <si>
    <t>A</t>
  </si>
  <si>
    <t>C</t>
  </si>
  <si>
    <t>D</t>
  </si>
  <si>
    <t>P</t>
  </si>
  <si>
    <t>Sovraprezzo alle opere in conglomerato cementizio per impiego di calcestruzzo preconfezionato di tipo diverso rispetto al tipo S3 considerato nei prezzi precedenti: classe di consistenza S4, fluido</t>
  </si>
  <si>
    <t>sottofondazione di pulizia e preparazione area deposito bombole</t>
  </si>
  <si>
    <t>PORTE BT Fornitura e posa in opera di  porta scorrevole per cella a bassa temperatura dimensioni 1200x2500 , costituita dai seguenti elementi realizzati come appresso descritto:
Controtelaio: profilo in composito a base di vetroresina ottenuto con il procedimento della pultrusione, spessore 5 mm, colore bianco.
Telaio porta: in lamiera stampata d’acciaio inox sp. 1.5 mm.
Pareti:  lamiera di acciaio zincato sp. 0.6 mm con superfici preverniciate color aragosta.
Coibentazione: ottenuta con iniezione sotto pressa di poliuretano con densità 38/40 Kg/m³  spessore totale 115 mm.
Guarnizioni: in gomma spugna Mousse a cellule chiuse disposte su doppia fila e inserite su apposita guida in alluminio.
Riscaldamento: viene ottenuto con una resistenza installata sul tampone isolato fra le guarnizioni e nella soglia in una  cava     ricavata appositamente. La resistenza è costituito da un cavo parallelo alimentato a 220 V.</t>
  </si>
  <si>
    <t xml:space="preserve">FORNITURA E POSA IN OPERA DI Lavelli in acciaio INOX - 
Lavello in acciaio con comando a pedale conforme sistema HACCP - lavamani ovale in acciaio inox AISI 304 con colonna inox — premontaggio di:
■ miscelatore a pedale collegato alla bocca di erogazione orientabile R 590 A7 con riduttore automatico di 7 l/min.
■ piletta inox Ø 1”1/2
■ flessibili inox blu e rosso MF per collegamento alla rete — in dotazione sifone regolabile a norme DIN — supporto inox con il rubinetto a pedale già fissato — tasselli e viti per il montaggio a parete
pedale operated mixer – swivel spout – stainless ste - </t>
  </si>
  <si>
    <t>Miscelatori termostatici: - DN20 da incasso (da abbinare alle doccette disabili)</t>
  </si>
  <si>
    <t>contabilizzatoti acqua potabili punti vendita e utenze comuni
(specifica richiesta Sogemi)</t>
  </si>
  <si>
    <t>Guaina flessibile in PVC autoestinguente con spirale in PVC rigido rinforzato, con grado di protezione non inferiore a IP65 a norme CEI-EN 50086-1-2-3 e marchio IMQ, completa di raccordi e accessori - diam. 40mm</t>
  </si>
  <si>
    <t>Guaina flessibile in PVC autoestinguente con spirale in PVC rigido rinforzato, con grado di protezione non inferiore a IP65 a norme CEI-EN 50086-1-2-3 e marchio IMQ, completa di raccordi e accessori  - diam. 60mm</t>
  </si>
  <si>
    <t xml:space="preserve">PLAFONIERA 2X55w Corpo in alluminio stampato in un unico pezzo verniciato a polvere epossipoliestere di colore bianco. Schermo in policarbonato autoestinguente V2, stabilizzato agli UV, trasparente, stampato ad iniezione con superficie esterna liscia e prismatizzata all'interno, guarnizione di tenuta, apertura a cerniera. Scrocchi di chiusura schermo in acciaio inox AISI 304. Recuperatore di flusso ampio, sovradimensionato, in alluminio a specchio con trattamento superficiale al titanio e magnesio, assenza di iridescenza. Elemento porta cablaggio in acciaio zincato a caldo, verniciato a base poliestere di colore bianco, fissato al corpo mediante dispositivi rapidi
"Ribloc" in acciaio zincato, apertura a cerniera. Dimensioni: 235x655 mm, altezza 140 mm. Peso 3,2 kg. IP65. Montaggio anche su superfici normalmente infiammabili. - F -
Apparecchio a temperatura superficiale limitata. -D - Resistenza meccanica 6,5 joule. Resistenza al filo incandescente 850°C DOTAZIONE
Lampade fluorescenti compatte da 55W/840, montate, flusso luminoso 4800 lm, temperatura di colore 4000 K. Resa cromatica Ra &gt;80. Efficienza luminosa lampada pari a 87 lm/W. Attacco lampada 2G11. Conformità EN 12464-1. Staffe angolari asolate e viteria in acciaio inox. APPLICAZIONI Ambienti con temperatura da –10° a –30°C, escluso quelli dove sono controindicati i materiali componenti l'apparecchio. </t>
  </si>
  <si>
    <t>Plafoniera fluorescente a tenuta stagna in opera conforme norme CEI 32-41, grado di protezione IP65, costituita da: corpo stampato ad iniezione in un solo pezzo di materiale isolante infrangibile e autoestinguente, schermo diffusore in materiale policarbonato trasparente e autoestinguente rigato internamente, fissato al corpo contenitore mediante ganci elastici; uno o due complessi fluorescenti con cablaggio elettronico, del tipo: - 2 x 58 W</t>
  </si>
  <si>
    <t>Quadretto di alloggio int. protezione linea al vano contatori cabina</t>
  </si>
  <si>
    <t>Blocco con sganciatori differenziali in esecuzione affiancata o sottoposta, conforme norme CEI-EN 60947-2, in scatola isolante di elevata resistenza meccanica, manovra   annuale indipendente con leva frontale e segnalazione aperto/chiuso e intervento sganciatori; tensione di esercizio 400V - 50Hz esecuzione fissa con attacchi anteriori, nelle tipologie: sottoposto ad intervento regolabile</t>
  </si>
  <si>
    <t>Protezione da Q. Cabina a QSC</t>
  </si>
  <si>
    <t>Variante (Protezione da Q. Cabina a QSC)</t>
  </si>
  <si>
    <t>Variante (Protezione da Q. Cabina a QAC1.1)</t>
  </si>
  <si>
    <t>Variante (Protezione da Q. Cabina a QAC1.2</t>
  </si>
  <si>
    <t>Variante (Protezione da Q. Cabina a QAC1.3)</t>
  </si>
  <si>
    <t>Variante (Protezione da Q. Cabina a QAC1.4)</t>
  </si>
  <si>
    <t>Variante (Protezione da Q. Cabina a QAC1.5)</t>
  </si>
  <si>
    <t>Variante (Protezione da Q. Cabina a QAC1.6)</t>
  </si>
  <si>
    <t>Variante (Protezione da Q. Cabina a QAC1.7)</t>
  </si>
  <si>
    <t>Variante (Protezione da Q. Cabina a QAC1.8)</t>
  </si>
  <si>
    <t>Variante (Protezione da Q. Cabina a QAC2.1)</t>
  </si>
  <si>
    <t>Variante (Protezione da Q. Cabina a QAC2.2)</t>
  </si>
  <si>
    <t>Variante (Protezione da Q. Cabina a QAC3.1)</t>
  </si>
  <si>
    <t>Variante (Protezione da Q. Cabina a QAC4.1)</t>
  </si>
  <si>
    <t>Variante (Protezione da Q. Cabina a QAC4.2)</t>
  </si>
  <si>
    <t>Variante (Protezione da Q. Cabina a QAC5.1)</t>
  </si>
  <si>
    <t>Variante (Protezione da Q. Cabina a QAC5.2)</t>
  </si>
  <si>
    <t>Variante (Protezione da Q. Cabina a QAC5.3)</t>
  </si>
  <si>
    <t>I 15</t>
  </si>
  <si>
    <t>I 16</t>
  </si>
  <si>
    <t>maggiore quantità relative a integrazioni disposte in corso d'opera per copertura piattaforma e deposito bombole</t>
  </si>
  <si>
    <t>P.A. 27</t>
  </si>
  <si>
    <t>Ricoprimento con sabbia di protezione tubazioni in pead</t>
  </si>
  <si>
    <t>tubazioni per acqua potabile e antincendio poste a perimetro soletta su vespaio</t>
  </si>
  <si>
    <t>P.A. 26</t>
  </si>
  <si>
    <t>Maggiori oneri e attività per stesa e compattazione materiale arido di riempimento a perimetro fabbricato</t>
  </si>
  <si>
    <t>P.A. 24</t>
  </si>
  <si>
    <t>Realizzazione bauletti di protezione tubazione: tubazioni alte</t>
  </si>
  <si>
    <t>sviluppo complessivo tubazioni calcolato graficamente</t>
  </si>
  <si>
    <t>P.A. 25</t>
  </si>
  <si>
    <t>Realizzazione bauletti di protezione tubazione: tubazioni basse</t>
  </si>
  <si>
    <t>Pavimento a semina o spolvero di granulato sferoidale con incorporo superficiale di 2 kg/m² di quarzo e 2 kg/m² di cemento; compresa la fornitura del calcestruzzo del massetto, la lisciatura, la formazione dei giunti e l'assistenza muraria.
Esclusa la rete elettrosaldata.
Applicato a fresco su: - massetto spessore 15 cm di calcestruzzo Rck 25 N/mm², con superficie compatta e lisciata</t>
  </si>
  <si>
    <t>strato aggiuntivo di rete elettrosaldata di consolidamento del pavimento industriale (diam. 6 maglia 15 x 15)</t>
  </si>
  <si>
    <t>D 03</t>
  </si>
  <si>
    <t>--</t>
  </si>
  <si>
    <t>Modifiche locali 1.8 e 5.3 il cui layout va invertito tra loro
Smontaggio pareti e soffitto e telaio porta del laboratorio e cella frigo + smontaggio soffitto a quota 4,50 del locale deposito da modificare
rimontaggio di pareti e soffitti e telaio porta dei vari locali con nuove pendinature dove occorrenti e nuove lattonerie e accessori
Manodopera, materiali e trasporti occorrenti</t>
  </si>
  <si>
    <t>P.A.02</t>
  </si>
  <si>
    <t>m²</t>
  </si>
  <si>
    <t>D 04</t>
  </si>
  <si>
    <t>1C.22.250.0070</t>
  </si>
  <si>
    <t>Porte interne ad una o più ante, realizzate con telaio in alluminio anodizzato colore naturale, battenti tamburati rivestiti sulle due facce con pannelli in fibra di legno e laminato plastico da 12/10 mm, spessore complessivo 45 ÷ 50 mm, complete di imbotti, guarnizioni di battuta, maniglie, accessori di movimento e chiusura. Compresa fornitura e posa falso telaio, tutte le assistenze murarie, il montaggio, i fissaggi, gli accessori d'uso.</t>
  </si>
  <si>
    <t>porte 0.90x2.10</t>
  </si>
  <si>
    <t>D 05</t>
  </si>
  <si>
    <t>D 06</t>
  </si>
  <si>
    <t>Modifiche locali 1.8 e 5.3 il cui layout va invertito tra loro
Smontaggio, modifica e rimontaggio parti impianti elettrici già parzialmente realizzati
Manodopera, materiali e trasporti occorrenti</t>
  </si>
  <si>
    <t>SOMMANO corpo</t>
  </si>
  <si>
    <t>OG1</t>
  </si>
  <si>
    <t>OPERE INTERNE E LATTONERIE DI FINITURA</t>
  </si>
  <si>
    <t>ADEGUAMNETO LAVORI DI RINTERRO E PAVIMENTAZIONE DELLE AREE AL PERIMETRO DEL FABBRICATO</t>
  </si>
  <si>
    <t>P 12</t>
  </si>
  <si>
    <t>1C.01.040.0060</t>
  </si>
  <si>
    <t>Taglio di pavimentazione e di solette in conglomerato cementizio armato per formazione di giunti, tagli, cavidotti e simili, eseguito con macchine tagliagiunti a motore elettrico o diesel. Al metro lineare di taglio per centimetro di profondità</t>
  </si>
  <si>
    <t>tagli in corrispondenza delle porte</t>
  </si>
  <si>
    <t>tagli in corrispondenza dei portoni sezionali</t>
  </si>
  <si>
    <t>OG11</t>
  </si>
  <si>
    <t>QUADRO ECONOMICO RIASSUNTIVO E DI RAFFRONTO
SECONDA VARIANTE - ADEGUAMENTI FUNZIONALI</t>
  </si>
  <si>
    <t>Voci base dell'appalto</t>
  </si>
  <si>
    <t>Opere interne e lattonerie di finitura</t>
  </si>
  <si>
    <t>Adeguamneto lavori rinterro e pavimentazione aree perimetro fabbricato</t>
  </si>
  <si>
    <t>Adeguamenti area bagni e impianti idrici</t>
  </si>
  <si>
    <t>Adeguamento impianti elettrici</t>
  </si>
  <si>
    <t>oltre a oneri della sicurezza seconda variante</t>
  </si>
  <si>
    <t>Milano, 24 ottobre 2014</t>
  </si>
  <si>
    <t>PANNELLI SP.100mm Isolamenti celle. Fornitura e posa in opera di pannelli isolanti a giunto secco (incastro) ed infssi per le celle  e le anticelle. Pannello sandwich per la realizzazione di celle a Bassa Temperatura</t>
  </si>
  <si>
    <t>aumento spessore del pavimento industriale di 5 cm</t>
  </si>
  <si>
    <t>tagli in corrispondenza del passaggio coperto</t>
  </si>
  <si>
    <t>oneri fermo cantiere (non soggetti a ribasso)</t>
  </si>
  <si>
    <t>importo netto variante esclusa sicurezza</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</si>
</sst>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
    <numFmt numFmtId="165" formatCode="0.000"/>
    <numFmt numFmtId="166" formatCode="#,##0.00_ ;[Red]\-#,##0.00\ "/>
    <numFmt numFmtId="167" formatCode="#,##0.000_ ;\-#,##0.000\ "/>
    <numFmt numFmtId="168" formatCode="0.00_ ;[Red]\-0.00\ "/>
    <numFmt numFmtId="169" formatCode="_-[$€-410]\ * #,##0.00_-;\-[$€-410]\ * #,##0.00_-;_-[$€-410]\ * &quot;-&quot;??_-;_-@_-"/>
    <numFmt numFmtId="170" formatCode="0.000%"/>
    <numFmt numFmtId="171" formatCode="#,##0.00_ ;\-#,##0.00\ "/>
  </numFmts>
  <fonts count="20" x14ac:knownFonts="1">
    <font>
      <sz val="8"/>
      <name val="Tahoma"/>
    </font>
    <font>
      <sz val="8"/>
      <name val="Tahoma"/>
      <family val="2"/>
    </font>
    <font>
      <b/>
      <sz val="8"/>
      <name val="Tahoma"/>
      <family val="2"/>
    </font>
    <font>
      <sz val="6"/>
      <name val="Tahoma"/>
      <family val="2"/>
    </font>
    <font>
      <b/>
      <sz val="10"/>
      <name val="Tahoma"/>
      <family val="2"/>
    </font>
    <font>
      <b/>
      <sz val="9"/>
      <name val="Tahoma"/>
      <family val="2"/>
    </font>
    <font>
      <sz val="8"/>
      <color indexed="17"/>
      <name val="Tahoma"/>
      <family val="2"/>
    </font>
    <font>
      <b/>
      <sz val="8"/>
      <color indexed="17"/>
      <name val="Tahoma"/>
      <family val="2"/>
    </font>
    <font>
      <sz val="10"/>
      <name val="Tahoma"/>
      <family val="2"/>
    </font>
    <font>
      <sz val="10"/>
      <name val="Arial"/>
      <family val="2"/>
    </font>
    <font>
      <sz val="8"/>
      <name val="Calibri"/>
      <family val="2"/>
    </font>
    <font>
      <sz val="8"/>
      <color indexed="56"/>
      <name val="Tahoma"/>
      <family val="2"/>
    </font>
    <font>
      <b/>
      <i/>
      <sz val="8"/>
      <color rgb="FFFF0000"/>
      <name val="Tahoma"/>
      <family val="2"/>
    </font>
    <font>
      <sz val="8"/>
      <color rgb="FFFF0000"/>
      <name val="Tahoma"/>
      <family val="2"/>
    </font>
    <font>
      <b/>
      <sz val="8"/>
      <color rgb="FFFF0000"/>
      <name val="Tahoma"/>
      <family val="2"/>
    </font>
    <font>
      <i/>
      <sz val="8"/>
      <name val="Tahoma"/>
      <family val="2"/>
    </font>
    <font>
      <u/>
      <sz val="10"/>
      <name val="Tahoma"/>
      <family val="2"/>
    </font>
    <font>
      <sz val="10"/>
      <color rgb="FFFF0000"/>
      <name val="Tahoma"/>
      <family val="2"/>
    </font>
    <font>
      <sz val="9"/>
      <name val="Tahoma"/>
      <family val="2"/>
    </font>
    <font>
      <sz val="10"/>
      <color theme="3" tint="0.39997558519241921"/>
      <name val="Tahoma"/>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indexed="15"/>
        <bgColor indexed="64"/>
      </patternFill>
    </fill>
    <fill>
      <patternFill patternType="solid">
        <fgColor indexed="22"/>
        <bgColor indexed="64"/>
      </patternFill>
    </fill>
    <fill>
      <patternFill patternType="solid">
        <fgColor rgb="FF92D050"/>
        <bgColor indexed="64"/>
      </patternFill>
    </fill>
  </fills>
  <borders count="53">
    <border>
      <left/>
      <right/>
      <top/>
      <bottom/>
      <diagonal/>
    </border>
    <border>
      <left/>
      <right/>
      <top style="double">
        <color indexed="57"/>
      </top>
      <bottom style="double">
        <color indexed="57"/>
      </bottom>
      <diagonal/>
    </border>
    <border>
      <left style="double">
        <color indexed="57"/>
      </left>
      <right style="thin">
        <color indexed="57"/>
      </right>
      <top/>
      <bottom/>
      <diagonal/>
    </border>
    <border>
      <left style="thin">
        <color indexed="57"/>
      </left>
      <right style="thin">
        <color indexed="57"/>
      </right>
      <top/>
      <bottom/>
      <diagonal/>
    </border>
    <border>
      <left style="thin">
        <color indexed="57"/>
      </left>
      <right style="double">
        <color indexed="57"/>
      </right>
      <top/>
      <bottom/>
      <diagonal/>
    </border>
    <border>
      <left style="thin">
        <color indexed="57"/>
      </left>
      <right/>
      <top style="double">
        <color indexed="57"/>
      </top>
      <bottom style="thin">
        <color indexed="57"/>
      </bottom>
      <diagonal/>
    </border>
    <border>
      <left/>
      <right/>
      <top style="double">
        <color indexed="57"/>
      </top>
      <bottom style="thin">
        <color indexed="57"/>
      </bottom>
      <diagonal/>
    </border>
    <border>
      <left/>
      <right style="thin">
        <color indexed="57"/>
      </right>
      <top style="double">
        <color indexed="57"/>
      </top>
      <bottom style="thin">
        <color indexed="57"/>
      </bottom>
      <diagonal/>
    </border>
    <border>
      <left style="double">
        <color indexed="57"/>
      </left>
      <right style="thin">
        <color indexed="57"/>
      </right>
      <top style="double">
        <color indexed="57"/>
      </top>
      <bottom/>
      <diagonal/>
    </border>
    <border>
      <left style="thin">
        <color indexed="57"/>
      </left>
      <right style="thin">
        <color indexed="57"/>
      </right>
      <top style="double">
        <color indexed="57"/>
      </top>
      <bottom/>
      <diagonal/>
    </border>
    <border>
      <left/>
      <right style="thin">
        <color indexed="57"/>
      </right>
      <top style="double">
        <color indexed="57"/>
      </top>
      <bottom/>
      <diagonal/>
    </border>
    <border>
      <left style="double">
        <color indexed="57"/>
      </left>
      <right style="thin">
        <color indexed="57"/>
      </right>
      <top style="thin">
        <color indexed="57"/>
      </top>
      <bottom style="thin">
        <color indexed="57"/>
      </bottom>
      <diagonal/>
    </border>
    <border>
      <left style="thin">
        <color indexed="57"/>
      </left>
      <right style="thin">
        <color indexed="57"/>
      </right>
      <top style="thin">
        <color indexed="57"/>
      </top>
      <bottom style="thin">
        <color indexed="57"/>
      </bottom>
      <diagonal/>
    </border>
    <border>
      <left/>
      <right/>
      <top style="double">
        <color indexed="57"/>
      </top>
      <bottom/>
      <diagonal/>
    </border>
    <border>
      <left style="double">
        <color indexed="57"/>
      </left>
      <right style="thin">
        <color indexed="64"/>
      </right>
      <top style="double">
        <color indexed="57"/>
      </top>
      <bottom style="double">
        <color indexed="57"/>
      </bottom>
      <diagonal/>
    </border>
    <border>
      <left style="thin">
        <color indexed="64"/>
      </left>
      <right style="thin">
        <color indexed="64"/>
      </right>
      <top style="double">
        <color indexed="57"/>
      </top>
      <bottom style="double">
        <color indexed="57"/>
      </bottom>
      <diagonal/>
    </border>
    <border>
      <left style="double">
        <color indexed="57"/>
      </left>
      <right/>
      <top style="double">
        <color indexed="57"/>
      </top>
      <bottom style="thin">
        <color indexed="57"/>
      </bottom>
      <diagonal/>
    </border>
    <border>
      <left/>
      <right style="double">
        <color indexed="57"/>
      </right>
      <top style="double">
        <color indexed="57"/>
      </top>
      <bottom style="thin">
        <color indexed="57"/>
      </bottom>
      <diagonal/>
    </border>
    <border>
      <left style="double">
        <color indexed="57"/>
      </left>
      <right/>
      <top style="thin">
        <color indexed="57"/>
      </top>
      <bottom style="thin">
        <color indexed="57"/>
      </bottom>
      <diagonal/>
    </border>
    <border>
      <left/>
      <right/>
      <top style="thin">
        <color indexed="57"/>
      </top>
      <bottom style="thin">
        <color indexed="57"/>
      </bottom>
      <diagonal/>
    </border>
    <border>
      <left/>
      <right style="double">
        <color indexed="57"/>
      </right>
      <top style="thin">
        <color indexed="57"/>
      </top>
      <bottom style="thin">
        <color indexed="57"/>
      </bottom>
      <diagonal/>
    </border>
    <border>
      <left style="double">
        <color indexed="57"/>
      </left>
      <right/>
      <top style="thin">
        <color indexed="57"/>
      </top>
      <bottom style="double">
        <color indexed="57"/>
      </bottom>
      <diagonal/>
    </border>
    <border>
      <left/>
      <right/>
      <top style="thin">
        <color indexed="57"/>
      </top>
      <bottom style="double">
        <color indexed="57"/>
      </bottom>
      <diagonal/>
    </border>
    <border>
      <left/>
      <right style="double">
        <color indexed="57"/>
      </right>
      <top style="thin">
        <color indexed="57"/>
      </top>
      <bottom style="double">
        <color indexed="57"/>
      </bottom>
      <diagonal/>
    </border>
    <border>
      <left style="double">
        <color indexed="57"/>
      </left>
      <right/>
      <top style="double">
        <color indexed="57"/>
      </top>
      <bottom style="double">
        <color indexed="57"/>
      </bottom>
      <diagonal/>
    </border>
    <border>
      <left/>
      <right style="double">
        <color indexed="57"/>
      </right>
      <top style="double">
        <color indexed="57"/>
      </top>
      <bottom style="double">
        <color indexed="57"/>
      </bottom>
      <diagonal/>
    </border>
    <border>
      <left style="thin">
        <color indexed="57"/>
      </left>
      <right style="double">
        <color indexed="57"/>
      </right>
      <top style="double">
        <color indexed="57"/>
      </top>
      <bottom/>
      <diagonal/>
    </border>
    <border>
      <left style="thin">
        <color indexed="57"/>
      </left>
      <right style="double">
        <color indexed="57"/>
      </right>
      <top style="thin">
        <color indexed="57"/>
      </top>
      <bottom style="thin">
        <color indexed="57"/>
      </bottom>
      <diagonal/>
    </border>
    <border>
      <left style="thin">
        <color indexed="64"/>
      </left>
      <right style="double">
        <color indexed="57"/>
      </right>
      <top style="double">
        <color indexed="57"/>
      </top>
      <bottom style="double">
        <color indexed="57"/>
      </bottom>
      <diagonal/>
    </border>
    <border>
      <left style="double">
        <color indexed="57"/>
      </left>
      <right/>
      <top style="double">
        <color indexed="57"/>
      </top>
      <bottom/>
      <diagonal/>
    </border>
    <border>
      <left style="double">
        <color indexed="57"/>
      </left>
      <right style="thin">
        <color indexed="57"/>
      </right>
      <top/>
      <bottom style="double">
        <color indexed="57"/>
      </bottom>
      <diagonal/>
    </border>
    <border>
      <left style="thin">
        <color indexed="57"/>
      </left>
      <right style="thin">
        <color indexed="57"/>
      </right>
      <top/>
      <bottom style="double">
        <color indexed="57"/>
      </bottom>
      <diagonal/>
    </border>
    <border>
      <left style="thin">
        <color indexed="57"/>
      </left>
      <right style="double">
        <color indexed="57"/>
      </right>
      <top/>
      <bottom style="double">
        <color indexed="57"/>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top style="double">
        <color indexed="57"/>
      </top>
      <bottom style="double">
        <color indexed="57"/>
      </bottom>
      <diagonal/>
    </border>
    <border>
      <left/>
      <right style="thin">
        <color indexed="64"/>
      </right>
      <top style="double">
        <color indexed="57"/>
      </top>
      <bottom style="double">
        <color indexed="57"/>
      </bottom>
      <diagonal/>
    </border>
    <border>
      <left/>
      <right style="thin">
        <color indexed="57"/>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diagonal/>
    </border>
    <border>
      <left/>
      <right/>
      <top style="thin">
        <color indexed="64"/>
      </top>
      <bottom/>
      <diagonal/>
    </border>
    <border>
      <left style="thin">
        <color indexed="64"/>
      </left>
      <right style="thin">
        <color indexed="64"/>
      </right>
      <top style="thin">
        <color indexed="64"/>
      </top>
      <bottom style="hair">
        <color indexed="64"/>
      </bottom>
      <diagonal/>
    </border>
  </borders>
  <cellStyleXfs count="3">
    <xf numFmtId="0" fontId="0" fillId="0" borderId="0"/>
    <xf numFmtId="0" fontId="9" fillId="0" borderId="0"/>
    <xf numFmtId="0" fontId="9" fillId="0" borderId="0"/>
  </cellStyleXfs>
  <cellXfs count="345">
    <xf numFmtId="0" fontId="0" fillId="0" borderId="0" xfId="0"/>
    <xf numFmtId="0" fontId="2" fillId="0" borderId="0" xfId="0" applyFont="1" applyBorder="1"/>
    <xf numFmtId="0" fontId="0" fillId="0" borderId="0" xfId="0" applyBorder="1"/>
    <xf numFmtId="0" fontId="0" fillId="0" borderId="0" xfId="0" applyBorder="1" applyAlignment="1">
      <alignment horizontal="center"/>
    </xf>
    <xf numFmtId="0" fontId="0" fillId="0" borderId="0" xfId="0" applyBorder="1" applyAlignment="1">
      <alignment horizontal="justify" vertical="top" wrapText="1"/>
    </xf>
    <xf numFmtId="2" fontId="0" fillId="0" borderId="0" xfId="0" applyNumberFormat="1" applyBorder="1"/>
    <xf numFmtId="49" fontId="0" fillId="0" borderId="0" xfId="0" applyNumberFormat="1" applyBorder="1"/>
    <xf numFmtId="0" fontId="3" fillId="0" borderId="0" xfId="0" applyFont="1" applyBorder="1"/>
    <xf numFmtId="0" fontId="3" fillId="0" borderId="0" xfId="0" applyFont="1" applyBorder="1" applyAlignment="1">
      <alignment horizontal="center"/>
    </xf>
    <xf numFmtId="2" fontId="3" fillId="0" borderId="0" xfId="0" applyNumberFormat="1" applyFont="1" applyBorder="1"/>
    <xf numFmtId="49" fontId="0" fillId="0" borderId="0" xfId="0" applyNumberFormat="1" applyFill="1" applyBorder="1" applyAlignment="1">
      <alignment horizontal="left" vertical="top" wrapText="1"/>
    </xf>
    <xf numFmtId="2" fontId="0" fillId="0" borderId="0" xfId="0" applyNumberFormat="1" applyBorder="1" applyAlignment="1">
      <alignment horizontal="right" wrapText="1"/>
    </xf>
    <xf numFmtId="2" fontId="0" fillId="0" borderId="0" xfId="0" applyNumberFormat="1" applyBorder="1" applyAlignment="1">
      <alignment horizontal="center" wrapText="1"/>
    </xf>
    <xf numFmtId="2" fontId="5" fillId="0" borderId="0" xfId="0" applyNumberFormat="1" applyFont="1" applyFill="1" applyBorder="1"/>
    <xf numFmtId="49" fontId="5" fillId="0" borderId="0" xfId="0" applyNumberFormat="1" applyFont="1" applyFill="1" applyBorder="1"/>
    <xf numFmtId="164" fontId="5" fillId="0" borderId="0" xfId="0" applyNumberFormat="1" applyFont="1" applyBorder="1" applyAlignment="1">
      <alignment horizontal="justify" vertical="top" wrapText="1"/>
    </xf>
    <xf numFmtId="49" fontId="0" fillId="0" borderId="0" xfId="0" applyNumberFormat="1" applyFill="1" applyBorder="1"/>
    <xf numFmtId="2" fontId="0" fillId="0" borderId="0" xfId="0" applyNumberFormat="1" applyFill="1" applyBorder="1"/>
    <xf numFmtId="0" fontId="0" fillId="0" borderId="1" xfId="0" applyBorder="1" applyAlignment="1">
      <alignment horizontal="center"/>
    </xf>
    <xf numFmtId="0" fontId="0" fillId="0" borderId="1" xfId="0" applyBorder="1"/>
    <xf numFmtId="2" fontId="0" fillId="0" borderId="1" xfId="0" applyNumberFormat="1" applyBorder="1"/>
    <xf numFmtId="0" fontId="1" fillId="0" borderId="3" xfId="0" applyNumberFormat="1" applyFont="1" applyBorder="1" applyAlignment="1">
      <alignment horizontal="justify" vertical="top" wrapText="1"/>
    </xf>
    <xf numFmtId="2" fontId="1" fillId="0" borderId="3" xfId="0" applyNumberFormat="1" applyFont="1" applyFill="1" applyBorder="1" applyAlignment="1">
      <alignment horizontal="right" vertical="top" wrapText="1"/>
    </xf>
    <xf numFmtId="0" fontId="6" fillId="0" borderId="9" xfId="0" applyFont="1" applyBorder="1" applyAlignment="1">
      <alignment horizontal="center" vertical="center"/>
    </xf>
    <xf numFmtId="0" fontId="6" fillId="0" borderId="10" xfId="0" applyFont="1" applyBorder="1" applyAlignment="1">
      <alignment horizontal="center"/>
    </xf>
    <xf numFmtId="0" fontId="6" fillId="0" borderId="9" xfId="0" applyFont="1" applyBorder="1" applyAlignment="1">
      <alignment horizontal="center"/>
    </xf>
    <xf numFmtId="2" fontId="6" fillId="0" borderId="9" xfId="0" applyNumberFormat="1" applyFont="1" applyBorder="1" applyAlignment="1">
      <alignment horizontal="center"/>
    </xf>
    <xf numFmtId="49" fontId="2" fillId="0" borderId="12" xfId="0" applyNumberFormat="1" applyFont="1" applyFill="1" applyBorder="1" applyAlignment="1">
      <alignment horizontal="left" vertical="top" wrapText="1"/>
    </xf>
    <xf numFmtId="164" fontId="4" fillId="0" borderId="12" xfId="0" applyNumberFormat="1" applyFont="1" applyBorder="1" applyAlignment="1">
      <alignment horizontal="justify" vertical="top" wrapText="1"/>
    </xf>
    <xf numFmtId="0" fontId="6" fillId="0" borderId="9" xfId="0" applyFont="1" applyBorder="1" applyAlignment="1">
      <alignment horizontal="center" vertical="center" wrapText="1"/>
    </xf>
    <xf numFmtId="2" fontId="1" fillId="0" borderId="3" xfId="0" applyNumberFormat="1" applyFont="1" applyBorder="1" applyAlignment="1">
      <alignment horizontal="right" vertical="top" wrapText="1"/>
    </xf>
    <xf numFmtId="0" fontId="1" fillId="0" borderId="3" xfId="0" applyNumberFormat="1" applyFont="1" applyBorder="1" applyAlignment="1">
      <alignment horizontal="center" wrapText="1"/>
    </xf>
    <xf numFmtId="164" fontId="5" fillId="0" borderId="16" xfId="0" applyNumberFormat="1" applyFont="1" applyBorder="1" applyAlignment="1">
      <alignment horizontal="justify" vertical="top" wrapText="1"/>
    </xf>
    <xf numFmtId="164" fontId="5" fillId="0" borderId="6" xfId="0" applyNumberFormat="1" applyFont="1" applyBorder="1" applyAlignment="1">
      <alignment horizontal="justify" vertical="top" wrapText="1"/>
    </xf>
    <xf numFmtId="49" fontId="5" fillId="0" borderId="6" xfId="0" applyNumberFormat="1" applyFont="1" applyBorder="1" applyAlignment="1">
      <alignment horizontal="justify" vertical="top" wrapText="1"/>
    </xf>
    <xf numFmtId="164" fontId="5" fillId="0" borderId="18" xfId="0" applyNumberFormat="1" applyFont="1" applyBorder="1" applyAlignment="1">
      <alignment horizontal="justify" vertical="top" wrapText="1"/>
    </xf>
    <xf numFmtId="164" fontId="5" fillId="0" borderId="19" xfId="0" applyNumberFormat="1" applyFont="1" applyBorder="1" applyAlignment="1">
      <alignment horizontal="justify" vertical="top" wrapText="1"/>
    </xf>
    <xf numFmtId="49" fontId="5" fillId="0" borderId="19" xfId="0" applyNumberFormat="1" applyFont="1" applyBorder="1" applyAlignment="1">
      <alignment horizontal="justify" vertical="top" wrapText="1"/>
    </xf>
    <xf numFmtId="164" fontId="5" fillId="0" borderId="21" xfId="0" applyNumberFormat="1" applyFont="1" applyBorder="1" applyAlignment="1">
      <alignment horizontal="justify" vertical="top" wrapText="1"/>
    </xf>
    <xf numFmtId="164" fontId="5" fillId="0" borderId="22" xfId="0" applyNumberFormat="1" applyFont="1" applyBorder="1" applyAlignment="1">
      <alignment horizontal="justify" vertical="top" wrapText="1"/>
    </xf>
    <xf numFmtId="49" fontId="5" fillId="0" borderId="22" xfId="0" applyNumberFormat="1" applyFont="1" applyBorder="1" applyAlignment="1">
      <alignment horizontal="justify" vertical="top" wrapText="1"/>
    </xf>
    <xf numFmtId="49" fontId="0" fillId="3" borderId="0" xfId="0" applyNumberFormat="1" applyFill="1" applyBorder="1"/>
    <xf numFmtId="0" fontId="0" fillId="3" borderId="0" xfId="0" applyFill="1" applyBorder="1"/>
    <xf numFmtId="0" fontId="0" fillId="3" borderId="25" xfId="0" applyFill="1" applyBorder="1"/>
    <xf numFmtId="0" fontId="6" fillId="3" borderId="26" xfId="0" applyFont="1" applyFill="1" applyBorder="1" applyAlignment="1">
      <alignment horizontal="center"/>
    </xf>
    <xf numFmtId="49" fontId="5" fillId="3" borderId="0" xfId="0" applyNumberFormat="1" applyFont="1" applyFill="1" applyBorder="1"/>
    <xf numFmtId="0" fontId="3" fillId="3" borderId="0" xfId="0" applyFont="1" applyFill="1" applyBorder="1"/>
    <xf numFmtId="2" fontId="1" fillId="3" borderId="4" xfId="0" applyNumberFormat="1" applyFont="1" applyFill="1" applyBorder="1" applyAlignment="1">
      <alignment horizontal="right" vertical="top" wrapText="1"/>
    </xf>
    <xf numFmtId="2" fontId="1" fillId="0" borderId="3" xfId="0" applyNumberFormat="1" applyFont="1" applyBorder="1" applyAlignment="1">
      <alignment horizontal="center" wrapText="1"/>
    </xf>
    <xf numFmtId="0" fontId="1" fillId="0" borderId="0" xfId="0" applyFont="1" applyBorder="1"/>
    <xf numFmtId="49" fontId="1" fillId="0" borderId="3" xfId="0" applyNumberFormat="1" applyFont="1" applyFill="1" applyBorder="1" applyAlignment="1">
      <alignment horizontal="center" vertical="top"/>
    </xf>
    <xf numFmtId="2" fontId="1" fillId="0" borderId="3" xfId="0" applyNumberFormat="1" applyFont="1" applyFill="1" applyBorder="1" applyAlignment="1">
      <alignment horizontal="center" vertical="top" wrapText="1"/>
    </xf>
    <xf numFmtId="4" fontId="5" fillId="0" borderId="0" xfId="0" applyNumberFormat="1" applyFont="1" applyFill="1" applyBorder="1"/>
    <xf numFmtId="4" fontId="5" fillId="3" borderId="0" xfId="0" applyNumberFormat="1" applyFont="1" applyFill="1" applyBorder="1"/>
    <xf numFmtId="164" fontId="5" fillId="0" borderId="21" xfId="0" applyNumberFormat="1" applyFont="1" applyBorder="1" applyAlignment="1">
      <alignment horizontal="right" vertical="top" wrapText="1"/>
    </xf>
    <xf numFmtId="0" fontId="0" fillId="0" borderId="29" xfId="0" applyNumberFormat="1" applyBorder="1" applyAlignment="1">
      <alignment horizontal="justify" vertical="top" wrapText="1"/>
    </xf>
    <xf numFmtId="1" fontId="6" fillId="0" borderId="8" xfId="0" applyNumberFormat="1" applyFont="1" applyBorder="1" applyAlignment="1">
      <alignment horizontal="center" vertical="center"/>
    </xf>
    <xf numFmtId="1" fontId="1" fillId="0" borderId="2" xfId="0" applyNumberFormat="1" applyFont="1" applyFill="1" applyBorder="1" applyAlignment="1">
      <alignment horizontal="center" vertical="top"/>
    </xf>
    <xf numFmtId="1" fontId="0" fillId="0" borderId="0" xfId="0" applyNumberFormat="1" applyFill="1" applyBorder="1" applyAlignment="1">
      <alignment horizontal="center" vertical="top"/>
    </xf>
    <xf numFmtId="1" fontId="3" fillId="0" borderId="0" xfId="0" applyNumberFormat="1" applyFont="1" applyBorder="1" applyAlignment="1">
      <alignment horizontal="center"/>
    </xf>
    <xf numFmtId="1" fontId="0" fillId="0" borderId="0" xfId="0" applyNumberFormat="1" applyBorder="1" applyAlignment="1">
      <alignment horizontal="center"/>
    </xf>
    <xf numFmtId="0" fontId="1" fillId="0" borderId="3" xfId="0" applyNumberFormat="1" applyFont="1" applyFill="1" applyBorder="1" applyAlignment="1">
      <alignment horizontal="justify" vertical="top" wrapText="1"/>
    </xf>
    <xf numFmtId="49" fontId="1" fillId="0" borderId="3" xfId="0" applyNumberFormat="1" applyFont="1" applyFill="1" applyBorder="1" applyAlignment="1">
      <alignment horizontal="left" vertical="top" wrapText="1"/>
    </xf>
    <xf numFmtId="164" fontId="1" fillId="0" borderId="3" xfId="0" applyNumberFormat="1" applyFont="1" applyBorder="1" applyAlignment="1">
      <alignment horizontal="justify" vertical="top" wrapText="1"/>
    </xf>
    <xf numFmtId="1" fontId="1" fillId="0" borderId="11" xfId="0" applyNumberFormat="1" applyFont="1" applyFill="1" applyBorder="1" applyAlignment="1">
      <alignment horizontal="center" vertical="top"/>
    </xf>
    <xf numFmtId="49" fontId="1" fillId="0" borderId="12" xfId="0" applyNumberFormat="1" applyFont="1" applyFill="1" applyBorder="1" applyAlignment="1">
      <alignment horizontal="center" vertical="top"/>
    </xf>
    <xf numFmtId="49" fontId="1" fillId="0" borderId="12" xfId="0" applyNumberFormat="1" applyFont="1" applyFill="1" applyBorder="1" applyAlignment="1">
      <alignment horizontal="left" vertical="top" wrapText="1"/>
    </xf>
    <xf numFmtId="2" fontId="1" fillId="0" borderId="12" xfId="0" applyNumberFormat="1" applyFont="1" applyBorder="1" applyAlignment="1">
      <alignment horizontal="right" wrapText="1"/>
    </xf>
    <xf numFmtId="2" fontId="1" fillId="0" borderId="12" xfId="0" applyNumberFormat="1" applyFont="1" applyBorder="1" applyAlignment="1">
      <alignment horizontal="center" wrapText="1"/>
    </xf>
    <xf numFmtId="2" fontId="1" fillId="0" borderId="12"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 fontId="2" fillId="3" borderId="27" xfId="0" applyNumberFormat="1" applyFont="1" applyFill="1" applyBorder="1" applyAlignment="1">
      <alignment horizontal="center" vertical="center" wrapText="1"/>
    </xf>
    <xf numFmtId="2" fontId="1" fillId="0" borderId="12" xfId="0" applyNumberFormat="1" applyFont="1" applyFill="1" applyBorder="1" applyAlignment="1">
      <alignment horizontal="right" vertical="top" wrapText="1"/>
    </xf>
    <xf numFmtId="2" fontId="1" fillId="3" borderId="27" xfId="0" applyNumberFormat="1" applyFont="1" applyFill="1" applyBorder="1" applyAlignment="1">
      <alignment horizontal="right" vertical="top" wrapText="1"/>
    </xf>
    <xf numFmtId="2" fontId="1" fillId="0" borderId="3" xfId="0" applyNumberFormat="1" applyFont="1" applyFill="1" applyBorder="1" applyAlignment="1">
      <alignment horizontal="center" wrapText="1"/>
    </xf>
    <xf numFmtId="2" fontId="1" fillId="0" borderId="4" xfId="0" applyNumberFormat="1" applyFont="1" applyFill="1" applyBorder="1" applyAlignment="1">
      <alignment horizontal="right" vertical="top" wrapText="1"/>
    </xf>
    <xf numFmtId="166" fontId="0" fillId="0" borderId="1" xfId="0" applyNumberFormat="1" applyBorder="1"/>
    <xf numFmtId="166" fontId="6" fillId="0" borderId="9" xfId="0" applyNumberFormat="1" applyFont="1" applyBorder="1" applyAlignment="1">
      <alignment horizontal="center"/>
    </xf>
    <xf numFmtId="166" fontId="1" fillId="0" borderId="3" xfId="0" applyNumberFormat="1" applyFont="1" applyBorder="1" applyAlignment="1">
      <alignment horizontal="right" vertical="top" wrapText="1"/>
    </xf>
    <xf numFmtId="166" fontId="1" fillId="0" borderId="3" xfId="0" applyNumberFormat="1" applyFont="1" applyFill="1" applyBorder="1" applyAlignment="1">
      <alignment horizontal="right" vertical="top" wrapText="1"/>
    </xf>
    <xf numFmtId="166" fontId="1" fillId="0" borderId="3" xfId="0" applyNumberFormat="1" applyFont="1" applyBorder="1" applyAlignment="1">
      <alignment horizontal="right" wrapText="1"/>
    </xf>
    <xf numFmtId="166" fontId="1" fillId="0" borderId="12" xfId="0" applyNumberFormat="1" applyFont="1" applyBorder="1" applyAlignment="1">
      <alignment horizontal="right" wrapText="1"/>
    </xf>
    <xf numFmtId="166" fontId="5" fillId="0" borderId="0" xfId="0" applyNumberFormat="1" applyFont="1" applyBorder="1" applyAlignment="1">
      <alignment horizontal="justify" vertical="top" wrapText="1"/>
    </xf>
    <xf numFmtId="166" fontId="5" fillId="0" borderId="6" xfId="0" applyNumberFormat="1" applyFont="1" applyBorder="1" applyAlignment="1">
      <alignment horizontal="justify" vertical="top" wrapText="1"/>
    </xf>
    <xf numFmtId="166" fontId="5" fillId="0" borderId="19" xfId="0" applyNumberFormat="1" applyFont="1" applyBorder="1" applyAlignment="1">
      <alignment horizontal="justify" vertical="top" wrapText="1"/>
    </xf>
    <xf numFmtId="166" fontId="5" fillId="0" borderId="22" xfId="0" applyNumberFormat="1" applyFont="1" applyBorder="1" applyAlignment="1">
      <alignment horizontal="justify" vertical="top" wrapText="1"/>
    </xf>
    <xf numFmtId="166" fontId="0" fillId="0" borderId="0" xfId="0" applyNumberFormat="1" applyBorder="1" applyAlignment="1">
      <alignment horizontal="right" wrapText="1"/>
    </xf>
    <xf numFmtId="166" fontId="0" fillId="0" borderId="0" xfId="0" applyNumberFormat="1" applyBorder="1"/>
    <xf numFmtId="166" fontId="0" fillId="3" borderId="1" xfId="0" applyNumberFormat="1" applyFill="1" applyBorder="1"/>
    <xf numFmtId="166" fontId="6" fillId="3" borderId="9" xfId="0" applyNumberFormat="1" applyFont="1" applyFill="1" applyBorder="1" applyAlignment="1">
      <alignment horizontal="center"/>
    </xf>
    <xf numFmtId="166" fontId="1" fillId="3" borderId="3" xfId="0" applyNumberFormat="1" applyFont="1" applyFill="1" applyBorder="1" applyAlignment="1">
      <alignment horizontal="right" vertical="top" wrapText="1"/>
    </xf>
    <xf numFmtId="166" fontId="1" fillId="3" borderId="3" xfId="0" applyNumberFormat="1" applyFont="1" applyFill="1" applyBorder="1" applyAlignment="1">
      <alignment horizontal="right" wrapText="1"/>
    </xf>
    <xf numFmtId="166" fontId="1" fillId="3" borderId="12" xfId="0" applyNumberFormat="1" applyFont="1" applyFill="1" applyBorder="1" applyAlignment="1">
      <alignment horizontal="center" wrapText="1"/>
    </xf>
    <xf numFmtId="166" fontId="1" fillId="0" borderId="3" xfId="0" applyNumberFormat="1" applyFont="1" applyFill="1" applyBorder="1" applyAlignment="1">
      <alignment horizontal="right" wrapText="1"/>
    </xf>
    <xf numFmtId="166" fontId="5" fillId="3" borderId="0" xfId="0" applyNumberFormat="1" applyFont="1" applyFill="1" applyBorder="1" applyAlignment="1">
      <alignment horizontal="justify" vertical="top" wrapText="1"/>
    </xf>
    <xf numFmtId="166" fontId="5" fillId="3" borderId="6" xfId="0" applyNumberFormat="1" applyFont="1" applyFill="1" applyBorder="1" applyAlignment="1">
      <alignment horizontal="right" vertical="top" wrapText="1"/>
    </xf>
    <xf numFmtId="166" fontId="5" fillId="3" borderId="19" xfId="0" applyNumberFormat="1" applyFont="1" applyFill="1" applyBorder="1" applyAlignment="1">
      <alignment horizontal="right" vertical="top" wrapText="1"/>
    </xf>
    <xf numFmtId="166" fontId="5" fillId="3" borderId="22" xfId="0" applyNumberFormat="1" applyFont="1" applyFill="1" applyBorder="1" applyAlignment="1">
      <alignment horizontal="right" vertical="top" wrapText="1"/>
    </xf>
    <xf numFmtId="166" fontId="0" fillId="3" borderId="0" xfId="0" applyNumberFormat="1" applyFill="1" applyBorder="1"/>
    <xf numFmtId="166" fontId="2" fillId="0" borderId="12" xfId="0" applyNumberFormat="1" applyFont="1" applyFill="1" applyBorder="1" applyAlignment="1">
      <alignment horizontal="center" vertical="center" wrapText="1"/>
    </xf>
    <xf numFmtId="166" fontId="1" fillId="0" borderId="12" xfId="0" applyNumberFormat="1" applyFont="1" applyFill="1" applyBorder="1" applyAlignment="1">
      <alignment horizontal="right" vertical="top" wrapText="1"/>
    </xf>
    <xf numFmtId="166" fontId="5" fillId="0" borderId="17" xfId="0" applyNumberFormat="1" applyFont="1" applyBorder="1" applyAlignment="1">
      <alignment horizontal="right" vertical="top" wrapText="1"/>
    </xf>
    <xf numFmtId="166" fontId="5" fillId="0" borderId="20" xfId="0" applyNumberFormat="1" applyFont="1" applyBorder="1" applyAlignment="1">
      <alignment horizontal="right" vertical="top" wrapText="1"/>
    </xf>
    <xf numFmtId="166" fontId="5" fillId="0" borderId="23" xfId="0" applyNumberFormat="1" applyFont="1" applyBorder="1" applyAlignment="1">
      <alignment horizontal="right" vertical="top" wrapText="1"/>
    </xf>
    <xf numFmtId="166" fontId="0" fillId="0" borderId="17" xfId="0" applyNumberFormat="1" applyFill="1" applyBorder="1"/>
    <xf numFmtId="1" fontId="1" fillId="0" borderId="30" xfId="0" applyNumberFormat="1" applyFont="1" applyBorder="1" applyAlignment="1">
      <alignment horizontal="center" vertical="top" wrapText="1"/>
    </xf>
    <xf numFmtId="49" fontId="7" fillId="2" borderId="31" xfId="0" applyNumberFormat="1" applyFont="1" applyFill="1" applyBorder="1" applyAlignment="1">
      <alignment horizontal="center" vertical="center" wrapText="1"/>
    </xf>
    <xf numFmtId="0" fontId="7" fillId="2" borderId="31" xfId="0" applyNumberFormat="1" applyFont="1" applyFill="1" applyBorder="1" applyAlignment="1">
      <alignment horizontal="center" vertical="center" wrapText="1"/>
    </xf>
    <xf numFmtId="166" fontId="7" fillId="2" borderId="31" xfId="0" applyNumberFormat="1" applyFont="1" applyFill="1" applyBorder="1" applyAlignment="1">
      <alignment horizontal="center" vertical="center" wrapText="1"/>
    </xf>
    <xf numFmtId="2" fontId="6" fillId="2" borderId="31" xfId="0" applyNumberFormat="1" applyFont="1" applyFill="1" applyBorder="1" applyAlignment="1">
      <alignment vertical="center" wrapText="1"/>
    </xf>
    <xf numFmtId="166" fontId="6" fillId="3" borderId="31" xfId="0" applyNumberFormat="1" applyFont="1" applyFill="1" applyBorder="1" applyAlignment="1">
      <alignment horizontal="center" vertical="center" wrapText="1"/>
    </xf>
    <xf numFmtId="166" fontId="6" fillId="2" borderId="31" xfId="0" applyNumberFormat="1" applyFont="1" applyFill="1" applyBorder="1" applyAlignment="1">
      <alignment horizontal="center" vertical="center" wrapText="1"/>
    </xf>
    <xf numFmtId="49" fontId="6" fillId="2" borderId="31" xfId="0" applyNumberFormat="1" applyFont="1" applyFill="1" applyBorder="1" applyAlignment="1">
      <alignment horizontal="center" vertical="center" wrapText="1"/>
    </xf>
    <xf numFmtId="49" fontId="6" fillId="3" borderId="32" xfId="0" applyNumberFormat="1" applyFont="1" applyFill="1" applyBorder="1" applyAlignment="1">
      <alignment vertical="center" wrapText="1"/>
    </xf>
    <xf numFmtId="167" fontId="1" fillId="0" borderId="1" xfId="0" applyNumberFormat="1" applyFont="1" applyBorder="1"/>
    <xf numFmtId="167" fontId="1" fillId="0" borderId="6" xfId="0" applyNumberFormat="1" applyFont="1" applyBorder="1"/>
    <xf numFmtId="167" fontId="1" fillId="0" borderId="7" xfId="0" applyNumberFormat="1" applyFont="1" applyBorder="1"/>
    <xf numFmtId="167" fontId="2" fillId="2" borderId="31" xfId="0" applyNumberFormat="1" applyFont="1" applyFill="1" applyBorder="1" applyAlignment="1">
      <alignment horizontal="center" vertical="center" wrapText="1"/>
    </xf>
    <xf numFmtId="167" fontId="1" fillId="0" borderId="12" xfId="0" applyNumberFormat="1" applyFont="1" applyBorder="1" applyAlignment="1">
      <alignment horizontal="right" wrapText="1"/>
    </xf>
    <xf numFmtId="167" fontId="1" fillId="0" borderId="3" xfId="0" applyNumberFormat="1" applyFont="1" applyBorder="1" applyAlignment="1">
      <alignment horizontal="right" vertical="top" wrapText="1"/>
    </xf>
    <xf numFmtId="167" fontId="1" fillId="0" borderId="3" xfId="0" applyNumberFormat="1" applyFont="1" applyFill="1" applyBorder="1" applyAlignment="1">
      <alignment horizontal="right" vertical="top" wrapText="1"/>
    </xf>
    <xf numFmtId="167" fontId="1" fillId="0" borderId="3" xfId="0" applyNumberFormat="1" applyFont="1" applyBorder="1" applyAlignment="1">
      <alignment horizontal="right" wrapText="1"/>
    </xf>
    <xf numFmtId="167" fontId="5" fillId="0" borderId="0" xfId="0" applyNumberFormat="1" applyFont="1" applyBorder="1" applyAlignment="1">
      <alignment horizontal="justify" vertical="top" wrapText="1"/>
    </xf>
    <xf numFmtId="167" fontId="5" fillId="0" borderId="6" xfId="0" applyNumberFormat="1" applyFont="1" applyBorder="1" applyAlignment="1">
      <alignment horizontal="justify" vertical="top" wrapText="1"/>
    </xf>
    <xf numFmtId="167" fontId="5" fillId="0" borderId="19" xfId="0" applyNumberFormat="1" applyFont="1" applyBorder="1" applyAlignment="1">
      <alignment horizontal="justify" vertical="top" wrapText="1"/>
    </xf>
    <xf numFmtId="167" fontId="5" fillId="0" borderId="22" xfId="0" applyNumberFormat="1" applyFont="1" applyBorder="1" applyAlignment="1">
      <alignment horizontal="justify" vertical="top" wrapText="1"/>
    </xf>
    <xf numFmtId="167" fontId="1" fillId="0" borderId="0" xfId="0" applyNumberFormat="1" applyFont="1" applyBorder="1" applyAlignment="1">
      <alignment horizontal="right" wrapText="1"/>
    </xf>
    <xf numFmtId="167" fontId="1" fillId="0" borderId="0" xfId="0" applyNumberFormat="1" applyFont="1" applyBorder="1"/>
    <xf numFmtId="168" fontId="0" fillId="0" borderId="1" xfId="0" applyNumberFormat="1" applyBorder="1"/>
    <xf numFmtId="168" fontId="6" fillId="0" borderId="5" xfId="0" applyNumberFormat="1" applyFont="1" applyBorder="1"/>
    <xf numFmtId="168" fontId="7" fillId="2" borderId="31" xfId="0" applyNumberFormat="1" applyFont="1" applyFill="1" applyBorder="1" applyAlignment="1">
      <alignment horizontal="center" vertical="center" wrapText="1"/>
    </xf>
    <xf numFmtId="168" fontId="1" fillId="0" borderId="3" xfId="0" applyNumberFormat="1" applyFont="1" applyBorder="1" applyAlignment="1">
      <alignment horizontal="right" vertical="top" wrapText="1"/>
    </xf>
    <xf numFmtId="168" fontId="1" fillId="0" borderId="3" xfId="0" applyNumberFormat="1" applyFont="1" applyFill="1" applyBorder="1" applyAlignment="1">
      <alignment horizontal="right" vertical="top" wrapText="1"/>
    </xf>
    <xf numFmtId="168" fontId="1" fillId="0" borderId="3" xfId="0" applyNumberFormat="1" applyFont="1" applyBorder="1" applyAlignment="1">
      <alignment horizontal="right" wrapText="1"/>
    </xf>
    <xf numFmtId="168" fontId="1" fillId="0" borderId="12" xfId="0" applyNumberFormat="1" applyFont="1" applyBorder="1" applyAlignment="1">
      <alignment horizontal="right" wrapText="1"/>
    </xf>
    <xf numFmtId="168" fontId="5" fillId="0" borderId="0" xfId="0" applyNumberFormat="1" applyFont="1" applyBorder="1" applyAlignment="1">
      <alignment horizontal="justify" vertical="top" wrapText="1"/>
    </xf>
    <xf numFmtId="168" fontId="5" fillId="0" borderId="6" xfId="0" applyNumberFormat="1" applyFont="1" applyBorder="1" applyAlignment="1">
      <alignment horizontal="justify" vertical="top" wrapText="1"/>
    </xf>
    <xf numFmtId="168" fontId="5" fillId="0" borderId="19" xfId="0" applyNumberFormat="1" applyFont="1" applyBorder="1" applyAlignment="1">
      <alignment horizontal="justify" vertical="top" wrapText="1"/>
    </xf>
    <xf numFmtId="168" fontId="5" fillId="0" borderId="22" xfId="0" applyNumberFormat="1" applyFont="1" applyBorder="1" applyAlignment="1">
      <alignment horizontal="justify" vertical="top" wrapText="1"/>
    </xf>
    <xf numFmtId="168" fontId="0" fillId="0" borderId="0" xfId="0" applyNumberFormat="1" applyBorder="1" applyAlignment="1">
      <alignment horizontal="right" wrapText="1"/>
    </xf>
    <xf numFmtId="168" fontId="0" fillId="0" borderId="0" xfId="0" applyNumberFormat="1" applyBorder="1"/>
    <xf numFmtId="1" fontId="1" fillId="0" borderId="2" xfId="0" applyNumberFormat="1" applyFont="1" applyFill="1" applyBorder="1" applyAlignment="1">
      <alignment horizontal="center" vertical="top"/>
    </xf>
    <xf numFmtId="49" fontId="0" fillId="0" borderId="3" xfId="0" applyNumberFormat="1" applyFill="1" applyBorder="1" applyAlignment="1">
      <alignment horizontal="center" vertical="top"/>
    </xf>
    <xf numFmtId="2" fontId="0" fillId="0" borderId="3" xfId="0" applyNumberFormat="1" applyFill="1" applyBorder="1" applyAlignment="1">
      <alignment horizontal="right" vertical="top" wrapText="1"/>
    </xf>
    <xf numFmtId="165" fontId="0" fillId="0" borderId="3" xfId="0" applyNumberFormat="1" applyFill="1" applyBorder="1" applyAlignment="1">
      <alignment horizontal="right" vertical="top" wrapText="1"/>
    </xf>
    <xf numFmtId="2" fontId="0" fillId="0" borderId="3" xfId="0" applyNumberFormat="1" applyFill="1" applyBorder="1" applyAlignment="1">
      <alignment horizontal="right" wrapText="1"/>
    </xf>
    <xf numFmtId="49" fontId="0" fillId="0" borderId="3" xfId="0" applyNumberFormat="1" applyFill="1" applyBorder="1" applyAlignment="1">
      <alignment horizontal="right" vertical="top" wrapText="1"/>
    </xf>
    <xf numFmtId="2" fontId="0" fillId="0" borderId="3" xfId="0" applyNumberFormat="1" applyBorder="1" applyAlignment="1">
      <alignment horizontal="right" vertical="top" wrapText="1"/>
    </xf>
    <xf numFmtId="2" fontId="0" fillId="3" borderId="4" xfId="0" applyNumberFormat="1" applyFill="1" applyBorder="1" applyAlignment="1">
      <alignment horizontal="right" vertical="top" wrapText="1"/>
    </xf>
    <xf numFmtId="0" fontId="0" fillId="0" borderId="3" xfId="0" applyNumberFormat="1" applyFill="1" applyBorder="1" applyAlignment="1">
      <alignment horizontal="justify" vertical="top" wrapText="1"/>
    </xf>
    <xf numFmtId="0" fontId="0" fillId="0" borderId="3" xfId="0" applyNumberFormat="1" applyFill="1" applyBorder="1" applyAlignment="1">
      <alignment horizontal="center" wrapText="1"/>
    </xf>
    <xf numFmtId="2" fontId="0" fillId="0" borderId="3" xfId="0" applyNumberFormat="1" applyFill="1" applyBorder="1" applyAlignment="1">
      <alignment horizontal="center" wrapText="1"/>
    </xf>
    <xf numFmtId="0" fontId="1" fillId="0" borderId="3" xfId="0" applyNumberFormat="1" applyFont="1" applyFill="1" applyBorder="1" applyAlignment="1">
      <alignment horizontal="center" wrapText="1"/>
    </xf>
    <xf numFmtId="167" fontId="1" fillId="0" borderId="3" xfId="0" applyNumberFormat="1" applyFont="1" applyFill="1" applyBorder="1" applyAlignment="1">
      <alignment horizontal="right" wrapText="1"/>
    </xf>
    <xf numFmtId="1" fontId="0" fillId="0" borderId="2" xfId="0" applyNumberFormat="1" applyBorder="1" applyAlignment="1">
      <alignment horizontal="right" vertical="top" wrapText="1"/>
    </xf>
    <xf numFmtId="0" fontId="11" fillId="0" borderId="3" xfId="0" applyNumberFormat="1" applyFont="1" applyBorder="1" applyAlignment="1">
      <alignment horizontal="justify" vertical="top" wrapText="1"/>
    </xf>
    <xf numFmtId="165" fontId="0" fillId="0" borderId="3" xfId="0" applyNumberFormat="1" applyBorder="1" applyAlignment="1">
      <alignment horizontal="right" vertical="top" wrapText="1"/>
    </xf>
    <xf numFmtId="2" fontId="0" fillId="0" borderId="3" xfId="0" applyNumberFormat="1" applyBorder="1" applyAlignment="1">
      <alignment horizontal="center" vertical="top" wrapText="1"/>
    </xf>
    <xf numFmtId="2" fontId="0" fillId="3" borderId="3" xfId="0" applyNumberFormat="1" applyFill="1" applyBorder="1" applyAlignment="1">
      <alignment horizontal="right" vertical="top" wrapText="1"/>
    </xf>
    <xf numFmtId="0" fontId="0" fillId="0" borderId="3" xfId="0" applyNumberFormat="1" applyBorder="1" applyAlignment="1">
      <alignment horizontal="justify" vertical="top" wrapText="1"/>
    </xf>
    <xf numFmtId="165" fontId="0" fillId="0" borderId="3" xfId="0" applyNumberFormat="1" applyBorder="1" applyAlignment="1">
      <alignment horizontal="center" vertical="top" wrapText="1"/>
    </xf>
    <xf numFmtId="165" fontId="1" fillId="0" borderId="3" xfId="0" applyNumberFormat="1" applyFont="1" applyBorder="1" applyAlignment="1">
      <alignment horizontal="center" vertical="top" wrapText="1"/>
    </xf>
    <xf numFmtId="2" fontId="1" fillId="0" borderId="3" xfId="0" applyNumberFormat="1" applyFont="1" applyBorder="1" applyAlignment="1">
      <alignment horizontal="center" vertical="top" wrapText="1"/>
    </xf>
    <xf numFmtId="2" fontId="1" fillId="0" borderId="3" xfId="0" applyNumberFormat="1" applyFont="1" applyFill="1" applyBorder="1" applyAlignment="1">
      <alignment horizontal="left" vertical="top" wrapText="1"/>
    </xf>
    <xf numFmtId="165" fontId="1" fillId="0" borderId="3" xfId="0" applyNumberFormat="1" applyFont="1" applyFill="1" applyBorder="1" applyAlignment="1">
      <alignment horizontal="right" vertical="top" wrapText="1"/>
    </xf>
    <xf numFmtId="2" fontId="1" fillId="3" borderId="3" xfId="0" applyNumberFormat="1" applyFont="1" applyFill="1" applyBorder="1" applyAlignment="1">
      <alignment horizontal="right" vertical="top" wrapText="1"/>
    </xf>
    <xf numFmtId="165" fontId="0" fillId="0" borderId="3" xfId="0" applyNumberFormat="1" applyBorder="1" applyAlignment="1">
      <alignment horizontal="center" vertical="center" wrapText="1"/>
    </xf>
    <xf numFmtId="165" fontId="1" fillId="0" borderId="3" xfId="0" applyNumberFormat="1" applyFont="1" applyBorder="1" applyAlignment="1">
      <alignment horizontal="center" vertical="center" wrapText="1"/>
    </xf>
    <xf numFmtId="0" fontId="1" fillId="0" borderId="3" xfId="0" applyNumberFormat="1" applyFont="1" applyFill="1" applyBorder="1" applyAlignment="1">
      <alignment horizontal="center" vertical="center" wrapText="1"/>
    </xf>
    <xf numFmtId="2" fontId="0" fillId="0" borderId="3" xfId="0" applyNumberForma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3" xfId="0" applyNumberFormat="1" applyFont="1" applyFill="1" applyBorder="1" applyAlignment="1">
      <alignment horizontal="center" vertical="center" wrapText="1"/>
    </xf>
    <xf numFmtId="165" fontId="1" fillId="0" borderId="3" xfId="0" applyNumberFormat="1" applyFont="1" applyFill="1" applyBorder="1" applyAlignment="1">
      <alignment horizontal="center" vertical="center" wrapText="1"/>
    </xf>
    <xf numFmtId="49" fontId="8" fillId="0" borderId="2" xfId="0" applyNumberFormat="1" applyFont="1" applyFill="1" applyBorder="1" applyAlignment="1">
      <alignment horizontal="center" vertical="center"/>
    </xf>
    <xf numFmtId="0" fontId="12" fillId="0" borderId="3" xfId="0" applyNumberFormat="1" applyFont="1" applyBorder="1" applyAlignment="1">
      <alignment horizontal="justify" vertical="top" wrapText="1"/>
    </xf>
    <xf numFmtId="0" fontId="0" fillId="0" borderId="3" xfId="0" applyNumberFormat="1" applyBorder="1" applyAlignment="1">
      <alignment horizontal="center" wrapText="1"/>
    </xf>
    <xf numFmtId="2" fontId="0" fillId="0" borderId="3" xfId="0" applyNumberFormat="1" applyBorder="1" applyAlignment="1">
      <alignment horizontal="right" wrapText="1"/>
    </xf>
    <xf numFmtId="169" fontId="0" fillId="0" borderId="3" xfId="0" applyNumberFormat="1" applyBorder="1" applyAlignment="1">
      <alignment horizontal="center" wrapText="1"/>
    </xf>
    <xf numFmtId="169" fontId="0" fillId="3" borderId="3" xfId="0" applyNumberFormat="1" applyFill="1" applyBorder="1" applyAlignment="1">
      <alignment horizontal="right" vertical="top" wrapText="1"/>
    </xf>
    <xf numFmtId="2" fontId="0" fillId="3" borderId="0" xfId="0" applyNumberFormat="1" applyFill="1" applyBorder="1" applyAlignment="1">
      <alignment horizontal="right" vertical="top" wrapText="1"/>
    </xf>
    <xf numFmtId="2" fontId="13" fillId="0" borderId="3" xfId="0" applyNumberFormat="1" applyFont="1" applyBorder="1" applyAlignment="1">
      <alignment horizontal="right" vertical="top" wrapText="1"/>
    </xf>
    <xf numFmtId="2" fontId="14" fillId="0" borderId="3" xfId="0" applyNumberFormat="1" applyFont="1" applyBorder="1" applyAlignment="1">
      <alignment horizontal="right" vertical="top" wrapText="1"/>
    </xf>
    <xf numFmtId="165" fontId="14" fillId="0" borderId="3" xfId="0" applyNumberFormat="1" applyFont="1" applyBorder="1" applyAlignment="1">
      <alignment horizontal="right" vertical="top" wrapText="1"/>
    </xf>
    <xf numFmtId="0" fontId="14" fillId="0" borderId="3" xfId="0" applyNumberFormat="1" applyFont="1" applyBorder="1" applyAlignment="1">
      <alignment horizontal="center" wrapText="1"/>
    </xf>
    <xf numFmtId="2" fontId="14" fillId="0" borderId="3" xfId="0" applyNumberFormat="1" applyFont="1" applyBorder="1" applyAlignment="1">
      <alignment horizontal="right" wrapText="1"/>
    </xf>
    <xf numFmtId="169" fontId="11" fillId="0" borderId="3" xfId="0" applyNumberFormat="1" applyFont="1" applyBorder="1" applyAlignment="1">
      <alignment horizontal="justify" vertical="top" wrapText="1"/>
    </xf>
    <xf numFmtId="49" fontId="12" fillId="0" borderId="3" xfId="0" applyNumberFormat="1" applyFont="1" applyFill="1" applyBorder="1" applyAlignment="1">
      <alignment horizontal="right" vertical="top" wrapText="1"/>
    </xf>
    <xf numFmtId="2" fontId="12" fillId="0" borderId="3" xfId="0" applyNumberFormat="1" applyFont="1" applyFill="1" applyBorder="1" applyAlignment="1">
      <alignment horizontal="right" vertical="top" wrapText="1"/>
    </xf>
    <xf numFmtId="2" fontId="12" fillId="3" borderId="4" xfId="0" applyNumberFormat="1" applyFont="1" applyFill="1" applyBorder="1" applyAlignment="1">
      <alignment horizontal="right" vertical="top" wrapText="1"/>
    </xf>
    <xf numFmtId="2" fontId="12" fillId="3" borderId="0" xfId="0" applyNumberFormat="1" applyFont="1" applyFill="1" applyBorder="1" applyAlignment="1">
      <alignment horizontal="right" vertical="top" wrapText="1"/>
    </xf>
    <xf numFmtId="0" fontId="12" fillId="0" borderId="0" xfId="0" applyFont="1" applyBorder="1"/>
    <xf numFmtId="0" fontId="11" fillId="0" borderId="3" xfId="0" applyNumberFormat="1" applyFont="1" applyBorder="1" applyAlignment="1">
      <alignment horizontal="right" vertical="top" wrapText="1"/>
    </xf>
    <xf numFmtId="0" fontId="13" fillId="0" borderId="3" xfId="0" applyNumberFormat="1" applyFont="1" applyBorder="1" applyAlignment="1">
      <alignment horizontal="justify" vertical="top" wrapText="1"/>
    </xf>
    <xf numFmtId="169" fontId="14" fillId="0" borderId="3" xfId="0" applyNumberFormat="1" applyFont="1" applyBorder="1" applyAlignment="1">
      <alignment horizontal="center" wrapText="1"/>
    </xf>
    <xf numFmtId="169" fontId="14" fillId="3" borderId="3" xfId="0" applyNumberFormat="1" applyFont="1" applyFill="1" applyBorder="1" applyAlignment="1">
      <alignment horizontal="right" vertical="top" wrapText="1"/>
    </xf>
    <xf numFmtId="49" fontId="14" fillId="0" borderId="3" xfId="0" applyNumberFormat="1" applyFont="1" applyFill="1" applyBorder="1" applyAlignment="1">
      <alignment horizontal="right" vertical="top" wrapText="1"/>
    </xf>
    <xf numFmtId="2" fontId="14" fillId="0" borderId="3" xfId="0" applyNumberFormat="1" applyFont="1" applyFill="1" applyBorder="1" applyAlignment="1">
      <alignment horizontal="right" vertical="top" wrapText="1"/>
    </xf>
    <xf numFmtId="2" fontId="13" fillId="0" borderId="3" xfId="0" applyNumberFormat="1" applyFont="1" applyBorder="1" applyAlignment="1">
      <alignment horizontal="right" wrapText="1"/>
    </xf>
    <xf numFmtId="2" fontId="13" fillId="0" borderId="3" xfId="0" applyNumberFormat="1" applyFont="1" applyBorder="1" applyAlignment="1">
      <alignment horizontal="left" vertical="top" wrapText="1"/>
    </xf>
    <xf numFmtId="2" fontId="1" fillId="3" borderId="0" xfId="0" applyNumberFormat="1" applyFont="1" applyFill="1" applyBorder="1" applyAlignment="1">
      <alignment horizontal="right" vertical="top" wrapText="1"/>
    </xf>
    <xf numFmtId="0" fontId="1" fillId="0" borderId="0" xfId="0" applyFont="1"/>
    <xf numFmtId="0" fontId="1" fillId="0" borderId="3" xfId="0" applyNumberFormat="1" applyFont="1" applyFill="1" applyBorder="1" applyAlignment="1">
      <alignment horizontal="left" vertical="top" wrapText="1"/>
    </xf>
    <xf numFmtId="165" fontId="1" fillId="0" borderId="3" xfId="0" applyNumberFormat="1" applyFont="1" applyBorder="1" applyAlignment="1">
      <alignment horizontal="right" vertical="top" wrapText="1"/>
    </xf>
    <xf numFmtId="2" fontId="1" fillId="0" borderId="3" xfId="0" applyNumberFormat="1" applyFont="1" applyBorder="1" applyAlignment="1">
      <alignment horizontal="right" wrapText="1"/>
    </xf>
    <xf numFmtId="169" fontId="1" fillId="0" borderId="3" xfId="0" applyNumberFormat="1" applyFont="1" applyBorder="1" applyAlignment="1">
      <alignment horizontal="center" wrapText="1"/>
    </xf>
    <xf numFmtId="169" fontId="1" fillId="3" borderId="3" xfId="0" applyNumberFormat="1" applyFont="1" applyFill="1" applyBorder="1" applyAlignment="1">
      <alignment horizontal="right" vertical="top" wrapText="1"/>
    </xf>
    <xf numFmtId="49" fontId="1" fillId="0" borderId="3" xfId="0" applyNumberFormat="1" applyFont="1" applyFill="1" applyBorder="1" applyAlignment="1">
      <alignment horizontal="right" vertical="top" wrapText="1"/>
    </xf>
    <xf numFmtId="0" fontId="15" fillId="0" borderId="3" xfId="0" applyNumberFormat="1" applyFont="1" applyBorder="1" applyAlignment="1">
      <alignment horizontal="justify" vertical="top" wrapText="1"/>
    </xf>
    <xf numFmtId="49" fontId="0" fillId="0" borderId="3" xfId="0" applyNumberFormat="1" applyFill="1" applyBorder="1" applyAlignment="1">
      <alignment horizontal="left" vertical="top" wrapText="1"/>
    </xf>
    <xf numFmtId="49" fontId="12" fillId="0" borderId="3" xfId="0" applyNumberFormat="1" applyFont="1" applyFill="1" applyBorder="1" applyAlignment="1">
      <alignment horizontal="left" vertical="top" wrapText="1"/>
    </xf>
    <xf numFmtId="169" fontId="0" fillId="0" borderId="3" xfId="0" applyNumberFormat="1" applyBorder="1" applyAlignment="1">
      <alignment horizontal="right" vertical="top" wrapText="1"/>
    </xf>
    <xf numFmtId="2" fontId="14" fillId="3" borderId="4" xfId="0" applyNumberFormat="1" applyFont="1" applyFill="1" applyBorder="1" applyAlignment="1">
      <alignment horizontal="right" vertical="top" wrapText="1"/>
    </xf>
    <xf numFmtId="2" fontId="14" fillId="3" borderId="0" xfId="0" applyNumberFormat="1" applyFont="1" applyFill="1" applyBorder="1" applyAlignment="1">
      <alignment horizontal="right" vertical="top" wrapText="1"/>
    </xf>
    <xf numFmtId="0" fontId="14" fillId="0" borderId="0" xfId="0" applyFont="1" applyBorder="1"/>
    <xf numFmtId="0" fontId="14" fillId="0" borderId="0" xfId="0" applyFont="1"/>
    <xf numFmtId="49" fontId="14" fillId="0" borderId="3" xfId="0" applyNumberFormat="1" applyFont="1" applyFill="1" applyBorder="1" applyAlignment="1">
      <alignment horizontal="left" vertical="top" wrapText="1"/>
    </xf>
    <xf numFmtId="169" fontId="14" fillId="0" borderId="3" xfId="0" applyNumberFormat="1" applyFont="1" applyBorder="1" applyAlignment="1">
      <alignment horizontal="right" vertical="top" wrapText="1"/>
    </xf>
    <xf numFmtId="0" fontId="1" fillId="0" borderId="3" xfId="0" applyNumberFormat="1" applyFont="1" applyBorder="1" applyAlignment="1">
      <alignment vertical="center" wrapText="1"/>
    </xf>
    <xf numFmtId="0" fontId="1" fillId="0" borderId="0" xfId="0" applyFont="1" applyBorder="1" applyAlignment="1"/>
    <xf numFmtId="0" fontId="1" fillId="0" borderId="0" xfId="0" applyFont="1" applyAlignment="1"/>
    <xf numFmtId="49" fontId="8" fillId="0" borderId="2" xfId="0" applyNumberFormat="1" applyFont="1" applyFill="1" applyBorder="1" applyAlignment="1">
      <alignment horizontal="center"/>
    </xf>
    <xf numFmtId="0" fontId="1" fillId="0" borderId="3" xfId="0" applyNumberFormat="1" applyFont="1" applyBorder="1" applyAlignment="1">
      <alignment horizontal="justify" wrapText="1"/>
    </xf>
    <xf numFmtId="0" fontId="15" fillId="0" borderId="3" xfId="0" applyNumberFormat="1" applyFont="1" applyBorder="1" applyAlignment="1">
      <alignment horizontal="justify" wrapText="1"/>
    </xf>
    <xf numFmtId="165" fontId="1" fillId="0" borderId="3" xfId="0" applyNumberFormat="1" applyFont="1" applyBorder="1" applyAlignment="1">
      <alignment horizontal="right" wrapText="1"/>
    </xf>
    <xf numFmtId="2" fontId="1" fillId="3" borderId="3" xfId="0" applyNumberFormat="1" applyFont="1" applyFill="1" applyBorder="1" applyAlignment="1">
      <alignment horizontal="right" wrapText="1"/>
    </xf>
    <xf numFmtId="49" fontId="1" fillId="0" borderId="3" xfId="0" applyNumberFormat="1" applyFont="1" applyFill="1" applyBorder="1" applyAlignment="1">
      <alignment horizontal="right" wrapText="1"/>
    </xf>
    <xf numFmtId="2" fontId="1" fillId="0" borderId="3" xfId="0" applyNumberFormat="1" applyFont="1" applyFill="1" applyBorder="1" applyAlignment="1">
      <alignment horizontal="right" wrapText="1"/>
    </xf>
    <xf numFmtId="2" fontId="1" fillId="3" borderId="4" xfId="0" applyNumberFormat="1" applyFont="1" applyFill="1" applyBorder="1" applyAlignment="1">
      <alignment horizontal="right" wrapText="1"/>
    </xf>
    <xf numFmtId="2" fontId="1" fillId="3" borderId="0" xfId="0" applyNumberFormat="1" applyFont="1" applyFill="1" applyBorder="1" applyAlignment="1">
      <alignment horizontal="right" wrapText="1"/>
    </xf>
    <xf numFmtId="2" fontId="0" fillId="0" borderId="3" xfId="0" applyNumberFormat="1" applyBorder="1" applyAlignment="1">
      <alignment horizontal="center" wrapText="1"/>
    </xf>
    <xf numFmtId="2" fontId="0" fillId="3" borderId="3" xfId="0" applyNumberFormat="1" applyFill="1" applyBorder="1" applyAlignment="1">
      <alignment horizontal="right" wrapText="1"/>
    </xf>
    <xf numFmtId="0" fontId="11" fillId="0" borderId="3" xfId="0" applyNumberFormat="1" applyFont="1" applyBorder="1" applyAlignment="1">
      <alignment horizontal="justify" wrapText="1"/>
    </xf>
    <xf numFmtId="165" fontId="0" fillId="0" borderId="3" xfId="0" applyNumberFormat="1" applyBorder="1" applyAlignment="1">
      <alignment horizontal="right" wrapText="1"/>
    </xf>
    <xf numFmtId="2" fontId="0" fillId="3" borderId="4" xfId="0" applyNumberFormat="1" applyFill="1" applyBorder="1" applyAlignment="1">
      <alignment horizontal="right" wrapText="1"/>
    </xf>
    <xf numFmtId="2" fontId="14" fillId="3" borderId="0" xfId="0" applyNumberFormat="1" applyFont="1" applyFill="1" applyBorder="1" applyAlignment="1">
      <alignment horizontal="right" wrapText="1"/>
    </xf>
    <xf numFmtId="0" fontId="14" fillId="0" borderId="0" xfId="0" applyFont="1" applyBorder="1" applyAlignment="1"/>
    <xf numFmtId="0" fontId="14" fillId="0" borderId="0" xfId="0" applyFont="1" applyAlignment="1"/>
    <xf numFmtId="0" fontId="1" fillId="0" borderId="3" xfId="0" applyNumberFormat="1" applyFont="1" applyBorder="1" applyAlignment="1">
      <alignment horizontal="justify" vertical="center" wrapText="1"/>
    </xf>
    <xf numFmtId="0" fontId="15" fillId="0" borderId="3" xfId="0" applyNumberFormat="1" applyFont="1" applyBorder="1" applyAlignment="1">
      <alignment horizontal="justify" vertical="center" wrapText="1"/>
    </xf>
    <xf numFmtId="2" fontId="1" fillId="0" borderId="3" xfId="0" applyNumberFormat="1" applyFont="1" applyBorder="1" applyAlignment="1">
      <alignment horizontal="right" vertical="center" wrapText="1"/>
    </xf>
    <xf numFmtId="165" fontId="1" fillId="0" borderId="3" xfId="0" applyNumberFormat="1" applyFont="1" applyBorder="1" applyAlignment="1">
      <alignment horizontal="right" vertical="center" wrapText="1"/>
    </xf>
    <xf numFmtId="0" fontId="1" fillId="0" borderId="3" xfId="0" applyNumberFormat="1" applyFont="1" applyBorder="1" applyAlignment="1">
      <alignment horizontal="center" vertical="center" wrapText="1"/>
    </xf>
    <xf numFmtId="2" fontId="1" fillId="3" borderId="3" xfId="0" applyNumberFormat="1" applyFont="1" applyFill="1" applyBorder="1" applyAlignment="1">
      <alignment horizontal="right" vertical="center" wrapText="1"/>
    </xf>
    <xf numFmtId="49" fontId="1" fillId="0" borderId="3" xfId="0" applyNumberFormat="1" applyFont="1" applyFill="1" applyBorder="1" applyAlignment="1">
      <alignment horizontal="right" vertical="center" wrapText="1"/>
    </xf>
    <xf numFmtId="2" fontId="1" fillId="0" borderId="3" xfId="0" applyNumberFormat="1" applyFont="1" applyFill="1" applyBorder="1" applyAlignment="1">
      <alignment horizontal="right" vertical="center" wrapText="1"/>
    </xf>
    <xf numFmtId="2" fontId="1" fillId="3" borderId="4" xfId="0" applyNumberFormat="1" applyFont="1" applyFill="1" applyBorder="1" applyAlignment="1">
      <alignment horizontal="right" vertical="center" wrapText="1"/>
    </xf>
    <xf numFmtId="2" fontId="1" fillId="3" borderId="0" xfId="0" applyNumberFormat="1" applyFont="1" applyFill="1" applyBorder="1" applyAlignment="1">
      <alignment horizontal="right" vertical="center" wrapText="1"/>
    </xf>
    <xf numFmtId="0" fontId="1" fillId="0" borderId="0" xfId="0" applyFont="1" applyBorder="1" applyAlignment="1">
      <alignment vertical="center"/>
    </xf>
    <xf numFmtId="0" fontId="1" fillId="0" borderId="0" xfId="0" applyFont="1" applyAlignment="1">
      <alignment vertical="center"/>
    </xf>
    <xf numFmtId="2" fontId="1" fillId="0" borderId="3" xfId="0" applyNumberFormat="1" applyFont="1" applyBorder="1" applyAlignment="1">
      <alignment horizontal="left" vertical="top" wrapText="1"/>
    </xf>
    <xf numFmtId="169" fontId="1" fillId="0" borderId="3" xfId="0" applyNumberFormat="1" applyFont="1" applyFill="1" applyBorder="1" applyAlignment="1">
      <alignment horizontal="center" wrapText="1"/>
    </xf>
    <xf numFmtId="169" fontId="1" fillId="0" borderId="3" xfId="0" applyNumberFormat="1" applyFont="1" applyFill="1" applyBorder="1" applyAlignment="1">
      <alignment horizontal="right" vertical="top" wrapText="1"/>
    </xf>
    <xf numFmtId="2" fontId="1" fillId="0" borderId="0" xfId="0" applyNumberFormat="1" applyFont="1" applyFill="1" applyBorder="1" applyAlignment="1">
      <alignment horizontal="right" vertical="top" wrapText="1"/>
    </xf>
    <xf numFmtId="0" fontId="1" fillId="0" borderId="0" xfId="0" applyFont="1" applyFill="1" applyBorder="1"/>
    <xf numFmtId="0" fontId="1" fillId="0" borderId="0" xfId="0" applyFont="1" applyFill="1"/>
    <xf numFmtId="0" fontId="1" fillId="0" borderId="3" xfId="0" applyNumberFormat="1" applyFont="1" applyBorder="1" applyAlignment="1">
      <alignment horizontal="right" vertical="top" wrapText="1"/>
    </xf>
    <xf numFmtId="4" fontId="1" fillId="0" borderId="3" xfId="0" applyNumberFormat="1" applyFont="1" applyBorder="1" applyAlignment="1">
      <alignment horizontal="center" vertical="top" wrapText="1"/>
    </xf>
    <xf numFmtId="4" fontId="1" fillId="0" borderId="3" xfId="0" applyNumberFormat="1" applyFont="1" applyBorder="1" applyAlignment="1">
      <alignment horizontal="right" vertical="top" wrapText="1"/>
    </xf>
    <xf numFmtId="2" fontId="13" fillId="0" borderId="3" xfId="0" applyNumberFormat="1" applyFont="1" applyBorder="1" applyAlignment="1">
      <alignment horizontal="center" vertical="center" wrapText="1"/>
    </xf>
    <xf numFmtId="2" fontId="13" fillId="0" borderId="3" xfId="0" applyNumberFormat="1" applyFont="1" applyBorder="1" applyAlignment="1">
      <alignment horizontal="center" vertical="top" wrapText="1"/>
    </xf>
    <xf numFmtId="4" fontId="13" fillId="0" borderId="3" xfId="0" applyNumberFormat="1" applyFont="1" applyBorder="1" applyAlignment="1">
      <alignment horizontal="right" vertical="top" wrapText="1"/>
    </xf>
    <xf numFmtId="2" fontId="13" fillId="3" borderId="4" xfId="0" applyNumberFormat="1" applyFont="1" applyFill="1" applyBorder="1" applyAlignment="1">
      <alignment horizontal="right" vertical="top" wrapText="1"/>
    </xf>
    <xf numFmtId="2" fontId="13" fillId="3" borderId="3" xfId="0" applyNumberFormat="1" applyFont="1" applyFill="1" applyBorder="1" applyAlignment="1">
      <alignment horizontal="right" vertical="top" wrapText="1"/>
    </xf>
    <xf numFmtId="4" fontId="13" fillId="3" borderId="3" xfId="0" applyNumberFormat="1" applyFont="1" applyFill="1" applyBorder="1" applyAlignment="1">
      <alignment horizontal="right" vertical="top" wrapText="1"/>
    </xf>
    <xf numFmtId="4" fontId="0" fillId="3" borderId="3" xfId="0" applyNumberFormat="1" applyFill="1" applyBorder="1" applyAlignment="1">
      <alignment horizontal="right" vertical="top" wrapText="1"/>
    </xf>
    <xf numFmtId="0" fontId="1" fillId="0" borderId="0" xfId="0" applyFont="1" applyBorder="1" applyAlignment="1">
      <alignment horizontal="justify" vertical="top" wrapText="1"/>
    </xf>
    <xf numFmtId="0" fontId="1" fillId="0" borderId="3" xfId="0" applyNumberFormat="1" applyFont="1" applyBorder="1" applyAlignment="1">
      <alignment horizontal="right" wrapText="1"/>
    </xf>
    <xf numFmtId="2" fontId="2" fillId="0" borderId="3" xfId="0" applyNumberFormat="1" applyFont="1" applyBorder="1" applyAlignment="1">
      <alignment horizontal="right" vertical="top" wrapText="1"/>
    </xf>
    <xf numFmtId="0" fontId="8" fillId="5" borderId="33" xfId="2" applyFont="1" applyFill="1" applyBorder="1" applyAlignment="1" applyProtection="1">
      <alignment horizontal="center" vertical="center"/>
    </xf>
    <xf numFmtId="4" fontId="8" fillId="0" borderId="34" xfId="0" applyNumberFormat="1" applyFont="1" applyFill="1" applyBorder="1" applyAlignment="1" applyProtection="1">
      <alignment horizontal="right" vertical="center"/>
    </xf>
    <xf numFmtId="4" fontId="8" fillId="0" borderId="36" xfId="0" applyNumberFormat="1" applyFont="1" applyFill="1" applyBorder="1" applyAlignment="1" applyProtection="1">
      <alignment horizontal="right" vertical="center"/>
    </xf>
    <xf numFmtId="4" fontId="8" fillId="0" borderId="38" xfId="0" applyNumberFormat="1" applyFont="1" applyFill="1" applyBorder="1" applyAlignment="1" applyProtection="1">
      <alignment horizontal="right" vertical="center"/>
    </xf>
    <xf numFmtId="4" fontId="8" fillId="0" borderId="38" xfId="0" applyNumberFormat="1" applyFont="1" applyFill="1" applyBorder="1" applyAlignment="1" applyProtection="1">
      <alignment horizontal="left" vertical="center"/>
    </xf>
    <xf numFmtId="4" fontId="8" fillId="0" borderId="0" xfId="0" applyNumberFormat="1" applyFont="1" applyFill="1" applyBorder="1" applyAlignment="1" applyProtection="1">
      <alignment horizontal="left" vertical="center"/>
    </xf>
    <xf numFmtId="4" fontId="8" fillId="0" borderId="38" xfId="0" applyNumberFormat="1" applyFont="1" applyFill="1" applyBorder="1" applyAlignment="1" applyProtection="1">
      <alignment horizontal="right" vertical="top"/>
    </xf>
    <xf numFmtId="0" fontId="8" fillId="0" borderId="0" xfId="0" applyFont="1" applyAlignment="1">
      <alignment horizontal="right"/>
    </xf>
    <xf numFmtId="4" fontId="8" fillId="0" borderId="38" xfId="0" applyNumberFormat="1" applyFont="1" applyFill="1" applyBorder="1" applyAlignment="1" applyProtection="1">
      <alignment horizontal="right" vertical="top" wrapText="1"/>
    </xf>
    <xf numFmtId="0" fontId="8" fillId="0" borderId="0" xfId="0" applyFont="1" applyAlignment="1">
      <alignment horizontal="left"/>
    </xf>
    <xf numFmtId="0" fontId="0" fillId="0" borderId="0" xfId="0" applyAlignment="1">
      <alignment horizontal="left"/>
    </xf>
    <xf numFmtId="4" fontId="8" fillId="0" borderId="41" xfId="0" applyNumberFormat="1" applyFont="1" applyFill="1" applyBorder="1" applyAlignment="1" applyProtection="1">
      <alignment horizontal="left" vertical="center"/>
    </xf>
    <xf numFmtId="4" fontId="8" fillId="0" borderId="42" xfId="0" applyNumberFormat="1" applyFont="1" applyFill="1" applyBorder="1" applyAlignment="1" applyProtection="1">
      <alignment horizontal="right" vertical="center"/>
    </xf>
    <xf numFmtId="0" fontId="8" fillId="7" borderId="33" xfId="2" applyFont="1" applyFill="1" applyBorder="1" applyAlignment="1" applyProtection="1">
      <alignment horizontal="center" vertical="center"/>
    </xf>
    <xf numFmtId="0" fontId="4" fillId="7" borderId="33" xfId="2" applyFont="1" applyFill="1" applyBorder="1" applyAlignment="1" applyProtection="1">
      <alignment horizontal="center" vertical="center"/>
    </xf>
    <xf numFmtId="0" fontId="1" fillId="0" borderId="3" xfId="0" applyNumberFormat="1" applyFont="1" applyFill="1" applyBorder="1" applyAlignment="1">
      <alignment horizontal="right" vertical="top" wrapText="1"/>
    </xf>
    <xf numFmtId="171" fontId="1" fillId="0" borderId="3" xfId="0" applyNumberFormat="1" applyFont="1" applyFill="1" applyBorder="1" applyAlignment="1">
      <alignment horizontal="right" vertical="top" wrapText="1"/>
    </xf>
    <xf numFmtId="4" fontId="0" fillId="0" borderId="3" xfId="0" applyNumberFormat="1" applyFill="1" applyBorder="1" applyAlignment="1">
      <alignment horizontal="right" wrapText="1"/>
    </xf>
    <xf numFmtId="4" fontId="8" fillId="0" borderId="35" xfId="0" applyNumberFormat="1" applyFont="1" applyFill="1" applyBorder="1" applyAlignment="1" applyProtection="1">
      <alignment horizontal="right" vertical="center"/>
    </xf>
    <xf numFmtId="4" fontId="8" fillId="0" borderId="37" xfId="0" applyNumberFormat="1" applyFont="1" applyFill="1" applyBorder="1" applyAlignment="1" applyProtection="1">
      <alignment horizontal="right" vertical="center"/>
    </xf>
    <xf numFmtId="170" fontId="8" fillId="0" borderId="39" xfId="0" applyNumberFormat="1" applyFont="1" applyFill="1" applyBorder="1" applyAlignment="1" applyProtection="1">
      <alignment horizontal="right" vertical="center"/>
    </xf>
    <xf numFmtId="4" fontId="8" fillId="6" borderId="40" xfId="0" applyNumberFormat="1" applyFont="1" applyFill="1" applyBorder="1" applyAlignment="1" applyProtection="1">
      <alignment horizontal="right" vertical="center"/>
    </xf>
    <xf numFmtId="4" fontId="8" fillId="0" borderId="39" xfId="0" applyNumberFormat="1" applyFont="1" applyFill="1" applyBorder="1" applyAlignment="1" applyProtection="1">
      <alignment horizontal="right" vertical="center"/>
    </xf>
    <xf numFmtId="4" fontId="8" fillId="0" borderId="33" xfId="0" applyNumberFormat="1" applyFont="1" applyBorder="1"/>
    <xf numFmtId="4" fontId="8" fillId="0" borderId="0" xfId="0" applyNumberFormat="1" applyFont="1"/>
    <xf numFmtId="0" fontId="8" fillId="0" borderId="0" xfId="0" applyFont="1"/>
    <xf numFmtId="0" fontId="0" fillId="0" borderId="3" xfId="0" applyNumberFormat="1" applyBorder="1" applyAlignment="1">
      <alignment horizontal="right" vertical="top" wrapText="1"/>
    </xf>
    <xf numFmtId="4" fontId="17" fillId="0" borderId="39" xfId="0" applyNumberFormat="1" applyFont="1" applyFill="1" applyBorder="1" applyAlignment="1" applyProtection="1">
      <alignment horizontal="right" vertical="center"/>
    </xf>
    <xf numFmtId="4" fontId="2" fillId="3" borderId="12" xfId="0" applyNumberFormat="1" applyFont="1" applyFill="1" applyBorder="1" applyAlignment="1">
      <alignment horizontal="center" vertical="center" wrapText="1"/>
    </xf>
    <xf numFmtId="1" fontId="2" fillId="0" borderId="2" xfId="0" applyNumberFormat="1" applyFont="1" applyFill="1" applyBorder="1" applyAlignment="1">
      <alignment horizontal="center" vertical="top"/>
    </xf>
    <xf numFmtId="1" fontId="0" fillId="0" borderId="13" xfId="0" applyNumberFormat="1" applyFill="1" applyBorder="1" applyAlignment="1">
      <alignment horizontal="center" vertical="center"/>
    </xf>
    <xf numFmtId="49" fontId="0" fillId="0" borderId="13" xfId="0" applyNumberFormat="1" applyFill="1" applyBorder="1" applyAlignment="1">
      <alignment horizontal="center" vertical="center"/>
    </xf>
    <xf numFmtId="49" fontId="0" fillId="0" borderId="13" xfId="0" applyNumberFormat="1" applyFill="1" applyBorder="1" applyAlignment="1">
      <alignment horizontal="left" vertical="center" wrapText="1"/>
    </xf>
    <xf numFmtId="2" fontId="5" fillId="0" borderId="14" xfId="0" applyNumberFormat="1" applyFont="1" applyBorder="1" applyAlignment="1">
      <alignment horizontal="right" vertical="center" wrapText="1"/>
    </xf>
    <xf numFmtId="0" fontId="0" fillId="0" borderId="0" xfId="0" applyBorder="1" applyAlignment="1">
      <alignment vertical="center"/>
    </xf>
    <xf numFmtId="166" fontId="5" fillId="0" borderId="15" xfId="0" applyNumberFormat="1" applyFont="1" applyBorder="1" applyAlignment="1">
      <alignment horizontal="center" vertical="center" wrapText="1"/>
    </xf>
    <xf numFmtId="4" fontId="5" fillId="3" borderId="28" xfId="0" applyNumberFormat="1" applyFont="1" applyFill="1" applyBorder="1" applyAlignment="1">
      <alignment horizontal="center" vertical="center" wrapText="1"/>
    </xf>
    <xf numFmtId="0" fontId="18" fillId="0" borderId="0" xfId="0" applyFont="1" applyAlignment="1">
      <alignment horizontal="right"/>
    </xf>
    <xf numFmtId="4" fontId="18" fillId="0" borderId="39" xfId="0" applyNumberFormat="1" applyFont="1" applyFill="1" applyBorder="1" applyAlignment="1" applyProtection="1">
      <alignment horizontal="right" vertical="center"/>
    </xf>
    <xf numFmtId="0" fontId="1" fillId="0" borderId="3" xfId="0" applyNumberFormat="1" applyFont="1" applyBorder="1" applyAlignment="1">
      <alignment horizontal="left" vertical="top" wrapText="1"/>
    </xf>
    <xf numFmtId="49" fontId="0" fillId="0" borderId="2" xfId="0" applyNumberFormat="1" applyFill="1" applyBorder="1" applyAlignment="1">
      <alignment horizontal="right" vertical="top"/>
    </xf>
    <xf numFmtId="49" fontId="1" fillId="0" borderId="2" xfId="0" applyNumberFormat="1" applyFont="1" applyFill="1" applyBorder="1" applyAlignment="1">
      <alignment horizontal="center" vertical="top"/>
    </xf>
    <xf numFmtId="1" fontId="0" fillId="0" borderId="45" xfId="0" applyNumberFormat="1" applyBorder="1" applyAlignment="1">
      <alignment horizontal="right" vertical="top" wrapText="1"/>
    </xf>
    <xf numFmtId="0" fontId="1" fillId="0" borderId="3" xfId="0" quotePrefix="1" applyNumberFormat="1" applyFont="1" applyBorder="1" applyAlignment="1">
      <alignment horizontal="justify" vertical="top" wrapText="1"/>
    </xf>
    <xf numFmtId="2" fontId="0" fillId="0" borderId="3" xfId="0" applyNumberFormat="1" applyBorder="1" applyAlignment="1">
      <alignment horizontal="left" vertical="top" wrapText="1"/>
    </xf>
    <xf numFmtId="2" fontId="1" fillId="0" borderId="3" xfId="0" quotePrefix="1" applyNumberFormat="1" applyFont="1" applyBorder="1" applyAlignment="1">
      <alignment horizontal="right" vertical="top" wrapText="1"/>
    </xf>
    <xf numFmtId="4" fontId="0" fillId="0" borderId="3" xfId="0" applyNumberFormat="1" applyBorder="1" applyAlignment="1">
      <alignment horizontal="right" vertical="top" wrapText="1"/>
    </xf>
    <xf numFmtId="4" fontId="8" fillId="0" borderId="49" xfId="0" applyNumberFormat="1" applyFont="1" applyFill="1" applyBorder="1" applyAlignment="1" applyProtection="1">
      <alignment horizontal="right" vertical="top" wrapText="1"/>
    </xf>
    <xf numFmtId="4" fontId="8" fillId="0" borderId="49" xfId="0" applyNumberFormat="1" applyFont="1" applyFill="1" applyBorder="1" applyAlignment="1" applyProtection="1">
      <alignment horizontal="right" vertical="top"/>
    </xf>
    <xf numFmtId="49" fontId="4" fillId="0" borderId="12" xfId="0" applyNumberFormat="1" applyFont="1" applyFill="1" applyBorder="1" applyAlignment="1">
      <alignment horizontal="center" vertical="center" wrapText="1"/>
    </xf>
    <xf numFmtId="164" fontId="4" fillId="0" borderId="12" xfId="0" applyNumberFormat="1" applyFont="1" applyBorder="1" applyAlignment="1">
      <alignment horizontal="left" vertical="center" wrapText="1"/>
    </xf>
    <xf numFmtId="4" fontId="8" fillId="0" borderId="42" xfId="0" applyNumberFormat="1" applyFont="1" applyFill="1" applyBorder="1" applyAlignment="1" applyProtection="1">
      <alignment horizontal="left" vertical="center"/>
    </xf>
    <xf numFmtId="4" fontId="8" fillId="6" borderId="33" xfId="0" applyNumberFormat="1" applyFont="1" applyFill="1" applyBorder="1" applyAlignment="1" applyProtection="1">
      <alignment horizontal="right" vertical="center"/>
    </xf>
    <xf numFmtId="4" fontId="8" fillId="0" borderId="50" xfId="0" applyNumberFormat="1" applyFont="1" applyFill="1" applyBorder="1" applyAlignment="1" applyProtection="1">
      <alignment horizontal="right" vertical="top" wrapText="1"/>
    </xf>
    <xf numFmtId="4" fontId="17" fillId="0" borderId="0" xfId="0" applyNumberFormat="1" applyFont="1" applyFill="1" applyBorder="1" applyAlignment="1" applyProtection="1">
      <alignment horizontal="right" vertical="center"/>
    </xf>
    <xf numFmtId="4" fontId="19" fillId="0" borderId="0" xfId="0" applyNumberFormat="1" applyFont="1" applyFill="1" applyBorder="1" applyAlignment="1" applyProtection="1">
      <alignment horizontal="right" vertical="center"/>
    </xf>
    <xf numFmtId="4" fontId="19" fillId="0" borderId="50" xfId="0" applyNumberFormat="1" applyFont="1" applyFill="1" applyBorder="1" applyAlignment="1" applyProtection="1">
      <alignment horizontal="right" vertical="center" wrapText="1"/>
    </xf>
    <xf numFmtId="4" fontId="8" fillId="0" borderId="46" xfId="0" applyNumberFormat="1" applyFont="1" applyFill="1" applyBorder="1" applyAlignment="1" applyProtection="1">
      <alignment horizontal="left" vertical="center"/>
    </xf>
    <xf numFmtId="4" fontId="8" fillId="0" borderId="52" xfId="0" applyNumberFormat="1" applyFont="1" applyFill="1" applyBorder="1" applyAlignment="1" applyProtection="1">
      <alignment horizontal="right" vertical="top"/>
    </xf>
    <xf numFmtId="0" fontId="16" fillId="4" borderId="46" xfId="0" applyFont="1" applyFill="1" applyBorder="1" applyAlignment="1">
      <alignment horizontal="center" vertical="center" wrapText="1"/>
    </xf>
    <xf numFmtId="0" fontId="16" fillId="4" borderId="47" xfId="0" applyFont="1" applyFill="1" applyBorder="1" applyAlignment="1">
      <alignment horizontal="center" vertical="center" wrapText="1"/>
    </xf>
    <xf numFmtId="0" fontId="16" fillId="4" borderId="48" xfId="0" applyFont="1" applyFill="1" applyBorder="1" applyAlignment="1">
      <alignment horizontal="center" vertical="center" wrapText="1"/>
    </xf>
    <xf numFmtId="4" fontId="8" fillId="0" borderId="51" xfId="0" applyNumberFormat="1" applyFont="1" applyFill="1" applyBorder="1" applyAlignment="1" applyProtection="1">
      <alignment horizontal="center" vertical="top"/>
    </xf>
    <xf numFmtId="0" fontId="8" fillId="0" borderId="0" xfId="0" applyFont="1" applyBorder="1" applyAlignment="1">
      <alignment horizontal="left" vertical="center" wrapText="1"/>
    </xf>
    <xf numFmtId="1" fontId="1" fillId="0" borderId="24" xfId="0" applyNumberFormat="1" applyFont="1" applyBorder="1" applyAlignment="1">
      <alignment horizontal="left"/>
    </xf>
    <xf numFmtId="1" fontId="1" fillId="0" borderId="1" xfId="0" applyNumberFormat="1" applyFont="1" applyBorder="1" applyAlignment="1">
      <alignment horizontal="left"/>
    </xf>
    <xf numFmtId="49" fontId="0" fillId="0" borderId="18" xfId="0" applyNumberFormat="1" applyFill="1" applyBorder="1" applyAlignment="1">
      <alignment horizontal="center" vertical="top"/>
    </xf>
    <xf numFmtId="49" fontId="0" fillId="0" borderId="19" xfId="0" applyNumberFormat="1" applyFill="1" applyBorder="1" applyAlignment="1">
      <alignment horizontal="center" vertical="top"/>
    </xf>
    <xf numFmtId="49" fontId="0" fillId="0" borderId="20" xfId="0" applyNumberFormat="1" applyFill="1" applyBorder="1" applyAlignment="1">
      <alignment horizontal="center" vertical="top"/>
    </xf>
    <xf numFmtId="168" fontId="5" fillId="0" borderId="43" xfId="0" applyNumberFormat="1" applyFont="1" applyBorder="1" applyAlignment="1">
      <alignment horizontal="center" vertical="center" wrapText="1"/>
    </xf>
    <xf numFmtId="168" fontId="5" fillId="0" borderId="1" xfId="0" applyNumberFormat="1" applyFont="1" applyBorder="1" applyAlignment="1">
      <alignment horizontal="center" vertical="center" wrapText="1"/>
    </xf>
    <xf numFmtId="168" fontId="5" fillId="0" borderId="44" xfId="0" applyNumberFormat="1" applyFont="1" applyBorder="1" applyAlignment="1">
      <alignment horizontal="center" vertical="center" wrapText="1"/>
    </xf>
    <xf numFmtId="49" fontId="0" fillId="0" borderId="21" xfId="0" applyNumberFormat="1" applyFill="1" applyBorder="1" applyAlignment="1">
      <alignment horizontal="center" vertical="top"/>
    </xf>
    <xf numFmtId="49" fontId="0" fillId="0" borderId="22" xfId="0" applyNumberFormat="1" applyFill="1" applyBorder="1" applyAlignment="1">
      <alignment horizontal="center" vertical="top"/>
    </xf>
    <xf numFmtId="49" fontId="0" fillId="0" borderId="23" xfId="0" applyNumberFormat="1" applyFill="1" applyBorder="1" applyAlignment="1">
      <alignment horizontal="center" vertical="top"/>
    </xf>
    <xf numFmtId="4" fontId="5" fillId="0" borderId="43" xfId="0" applyNumberFormat="1" applyFont="1" applyBorder="1" applyAlignment="1">
      <alignment horizontal="center" vertical="center" wrapText="1"/>
    </xf>
    <xf numFmtId="4" fontId="5" fillId="0" borderId="44" xfId="0" applyNumberFormat="1" applyFont="1" applyBorder="1" applyAlignment="1">
      <alignment horizontal="center" vertical="center" wrapText="1"/>
    </xf>
  </cellXfs>
  <cellStyles count="3">
    <cellStyle name="0,0_x000d__x000a_NA_x000d__x000a_" xfId="1"/>
    <cellStyle name="Normale" xfId="0" builtinId="0"/>
    <cellStyle name="Normale_Categorie" xfId="2"/>
  </cellStyles>
  <dxfs count="224">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i val="0"/>
        <condense val="0"/>
        <extend val="0"/>
        <color rgb="FFFF0000"/>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color indexed="12"/>
      </font>
    </dxf>
    <dxf>
      <font>
        <b val="0"/>
        <i val="0"/>
        <condense val="0"/>
        <extend val="0"/>
        <color indexed="18"/>
      </font>
    </dxf>
    <dxf>
      <font>
        <b val="0"/>
        <i val="0"/>
        <condense val="0"/>
        <extend val="0"/>
        <color indexed="10"/>
      </font>
    </dxf>
    <dxf>
      <font>
        <b val="0"/>
        <i val="0"/>
        <condense val="0"/>
        <extend val="0"/>
      </font>
      <border>
        <left/>
        <right/>
        <top/>
        <bottom style="thin">
          <color indexed="22"/>
        </bottom>
      </border>
    </dxf>
    <dxf>
      <font>
        <b val="0"/>
        <i val="0"/>
        <condense val="0"/>
        <extend val="0"/>
      </font>
      <border>
        <left/>
        <right/>
        <top style="thin">
          <color indexed="22"/>
        </top>
        <bottom/>
      </border>
    </dxf>
    <dxf>
      <font>
        <b val="0"/>
        <i val="0"/>
        <condense val="0"/>
        <extend val="0"/>
        <color indexed="10"/>
      </font>
    </dxf>
    <dxf>
      <font>
        <b val="0"/>
        <i val="0"/>
        <condense val="0"/>
        <extend val="0"/>
        <color indexed="10"/>
      </font>
    </dxf>
    <dxf>
      <font>
        <b val="0"/>
        <i val="0"/>
        <condense val="0"/>
        <extend val="0"/>
        <color indexed="12"/>
      </font>
    </dxf>
    <dxf>
      <font>
        <b val="0"/>
        <i val="0"/>
        <condense val="0"/>
        <extend val="0"/>
        <color indexed="18"/>
      </font>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xmlMaps.xml><?xml version="1.0" encoding="utf-8"?>
<MapInfo xmlns="http://schemas.openxmlformats.org/spreadsheetml/2006/main" SelectionNamespaces="xmlns:ns1='ACCA.Misurazioni'">
  <Schema ID="Schema14" Namespace="ACCA.Misurazioni">
    <xsd:schema xmlns:xsd="http://www.w3.org/2001/XMLSchema" xmlns:ns0="ACCA.Misurazioni" xmlns="" targetNamespace="ACCA.Misurazioni">
      <xsd:element nillable="true" name="Misurazioni">
        <xsd:complexType>
          <xsd:sequence minOccurs="0">
            <xsd:element minOccurs="0" maxOccurs="unbounded" nillable="true" name="ItemVC" form="qualified">
              <xsd:complexType>
                <xsd:attribute name="Nr" form="unqualified" type="xsd:string"/>
                <xsd:attribute name="Tar" form="unqualified" type="xsd:string"/>
                <xsd:attribute name="Des" form="unqualified" type="xsd:string"/>
                <xsd:attribute name="ParUg" form="unqualified" type="xsd:string"/>
                <xsd:attribute name="Lung" form="unqualified" type="xsd:string"/>
                <xsd:attribute name="Larg" form="unqualified" type="xsd:string"/>
                <xsd:attribute name="HPeso" form="unqualified" type="xsd:string"/>
                <xsd:attribute name="QT" form="unqualified" type="xsd:string"/>
                <xsd:attribute name="Prz" form="unqualified" type="xsd:string"/>
                <xsd:attribute name="Tot" form="unqualified" type="xsd:string"/>
                <xsd:attribute name="ClDes" form="unqualified" type="xsd:string"/>
                <xsd:attribute name="ClQT" form="unqualified" type="xsd:string"/>
                <xsd:attribute name="Line" form="unqualified" type="xsd:string"/>
              </xsd:complexType>
            </xsd:element>
          </xsd:sequence>
        </xsd:complexType>
      </xsd:element>
    </xsd:schema>
  </Schema>
  <Map ID="1" Name="Misurazioni_mapping" RootElement="Misurazioni" SchemaID="Schema14" ShowImportExportValidationErrors="false" AutoFit="false" Append="false" PreserveSortAFLayout="false" PreserveFormat="true">
    <DataBinding DataBindingName="Binding1" FileBinding="true" ConnectionID="1" DataBindingLoadMode="1"/>
  </Map>
</MapInfo>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xmlMaps" Target="xmlMaps.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computo_metrico_CabinaA2Arev16-10-1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surazioni"/>
      <sheetName val="Foglio1"/>
      <sheetName val="Dati"/>
    </sheetNames>
    <sheetDataSet>
      <sheetData sheetId="0">
        <row r="266">
          <cell r="N266">
            <v>60336.61</v>
          </cell>
        </row>
        <row r="267">
          <cell r="N267">
            <v>1892.3</v>
          </cell>
        </row>
      </sheetData>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2"/>
  <sheetViews>
    <sheetView tabSelected="1" workbookViewId="0">
      <selection sqref="A1:C1"/>
    </sheetView>
  </sheetViews>
  <sheetFormatPr defaultRowHeight="13.2" x14ac:dyDescent="0.25"/>
  <cols>
    <col min="1" max="1" width="5.85546875" customWidth="1"/>
    <col min="2" max="2" width="80.42578125" customWidth="1"/>
    <col min="3" max="3" width="18.140625" style="293" customWidth="1"/>
    <col min="9" max="9" width="9.140625" customWidth="1"/>
  </cols>
  <sheetData>
    <row r="1" spans="1:3" ht="55.8" customHeight="1" x14ac:dyDescent="0.2">
      <c r="A1" s="327" t="s">
        <v>376</v>
      </c>
      <c r="B1" s="328"/>
      <c r="C1" s="329"/>
    </row>
    <row r="2" spans="1:3" x14ac:dyDescent="0.2">
      <c r="A2" s="268"/>
      <c r="B2" s="268" t="s">
        <v>377</v>
      </c>
      <c r="C2" s="268" t="s">
        <v>218</v>
      </c>
    </row>
    <row r="3" spans="1:3" x14ac:dyDescent="0.2">
      <c r="A3" s="269"/>
      <c r="B3" s="269" t="s">
        <v>219</v>
      </c>
      <c r="C3" s="286">
        <v>1684406.01</v>
      </c>
    </row>
    <row r="4" spans="1:3" x14ac:dyDescent="0.2">
      <c r="A4" s="270"/>
      <c r="B4" s="270" t="s">
        <v>220</v>
      </c>
      <c r="C4" s="287">
        <v>44413.7</v>
      </c>
    </row>
    <row r="5" spans="1:3" x14ac:dyDescent="0.2">
      <c r="A5" s="270"/>
      <c r="B5" s="270" t="s">
        <v>221</v>
      </c>
      <c r="C5" s="287">
        <v>14141.08</v>
      </c>
    </row>
    <row r="6" spans="1:3" x14ac:dyDescent="0.2">
      <c r="A6" s="271"/>
      <c r="B6" s="271" t="s">
        <v>222</v>
      </c>
      <c r="C6" s="288">
        <v>0.50999000000000005</v>
      </c>
    </row>
    <row r="7" spans="1:3" x14ac:dyDescent="0.2">
      <c r="A7" s="272"/>
      <c r="B7" s="272" t="s">
        <v>223</v>
      </c>
      <c r="C7" s="289">
        <f>C3*(1-C6)+C4+C5</f>
        <v>883930.56896009983</v>
      </c>
    </row>
    <row r="8" spans="1:3" x14ac:dyDescent="0.2">
      <c r="A8" s="268"/>
      <c r="B8" s="268" t="s">
        <v>232</v>
      </c>
      <c r="C8" s="268" t="s">
        <v>218</v>
      </c>
    </row>
    <row r="9" spans="1:3" x14ac:dyDescent="0.2">
      <c r="A9" s="274"/>
      <c r="B9" s="274" t="s">
        <v>224</v>
      </c>
      <c r="C9" s="290">
        <v>437367</v>
      </c>
    </row>
    <row r="10" spans="1:3" x14ac:dyDescent="0.2">
      <c r="A10" s="274"/>
      <c r="B10" s="274" t="s">
        <v>225</v>
      </c>
      <c r="C10" s="290">
        <v>10055.450000000001</v>
      </c>
    </row>
    <row r="11" spans="1:3" x14ac:dyDescent="0.2">
      <c r="A11" s="274"/>
      <c r="B11" s="274" t="s">
        <v>226</v>
      </c>
      <c r="C11" s="290">
        <v>1695.35</v>
      </c>
    </row>
    <row r="12" spans="1:3" x14ac:dyDescent="0.2">
      <c r="A12" s="274"/>
      <c r="B12" s="274" t="s">
        <v>227</v>
      </c>
      <c r="C12" s="290">
        <v>36543.67</v>
      </c>
    </row>
    <row r="13" spans="1:3" ht="26.4" x14ac:dyDescent="0.2">
      <c r="A13" s="276"/>
      <c r="B13" s="276" t="s">
        <v>228</v>
      </c>
      <c r="C13" s="290">
        <v>892.52</v>
      </c>
    </row>
    <row r="14" spans="1:3" x14ac:dyDescent="0.2">
      <c r="A14" s="276"/>
      <c r="B14" s="279" t="s">
        <v>233</v>
      </c>
      <c r="C14" s="289">
        <f>C7+C9*(1-C6)+C10+C11+C12*(1-C6)+C13</f>
        <v>1128794.8563667999</v>
      </c>
    </row>
    <row r="15" spans="1:3" x14ac:dyDescent="0.25">
      <c r="A15" s="315"/>
      <c r="B15" s="280" t="s">
        <v>229</v>
      </c>
      <c r="C15" s="291">
        <f>C4+C5+C10+C11+C13</f>
        <v>71198.100000000006</v>
      </c>
    </row>
    <row r="16" spans="1:3" x14ac:dyDescent="0.25">
      <c r="A16" s="273"/>
      <c r="B16" s="273"/>
      <c r="C16" s="292"/>
    </row>
    <row r="17" spans="1:3" x14ac:dyDescent="0.2">
      <c r="A17" s="281"/>
      <c r="B17" s="282" t="s">
        <v>234</v>
      </c>
      <c r="C17" s="281" t="s">
        <v>218</v>
      </c>
    </row>
    <row r="18" spans="1:3" x14ac:dyDescent="0.2">
      <c r="A18" s="274"/>
      <c r="B18" s="274" t="s">
        <v>293</v>
      </c>
      <c r="C18" s="290">
        <f>'CME variante - dettaglio'!N52</f>
        <v>24927.87</v>
      </c>
    </row>
    <row r="19" spans="1:3" x14ac:dyDescent="0.2">
      <c r="A19" s="274"/>
      <c r="B19" s="274" t="s">
        <v>294</v>
      </c>
      <c r="C19" s="290">
        <f>'CME variante - dettaglio'!N74</f>
        <v>6621.3</v>
      </c>
    </row>
    <row r="20" spans="1:3" x14ac:dyDescent="0.2">
      <c r="A20" s="274"/>
      <c r="B20" s="274" t="s">
        <v>379</v>
      </c>
      <c r="C20" s="290">
        <f>'CME variante - dettaglio'!N209</f>
        <v>83199.720000000016</v>
      </c>
    </row>
    <row r="21" spans="1:3" x14ac:dyDescent="0.2">
      <c r="A21" s="274"/>
      <c r="B21" s="274" t="s">
        <v>380</v>
      </c>
      <c r="C21" s="290">
        <f>'CME variante - dettaglio'!N293</f>
        <v>30691.330000000005</v>
      </c>
    </row>
    <row r="22" spans="1:3" x14ac:dyDescent="0.2">
      <c r="A22" s="274"/>
      <c r="B22" s="276" t="s">
        <v>381</v>
      </c>
      <c r="C22" s="290">
        <f>'CME variante - dettaglio'!N464</f>
        <v>29919.060000000005</v>
      </c>
    </row>
    <row r="23" spans="1:3" x14ac:dyDescent="0.2">
      <c r="A23" s="274"/>
      <c r="B23" s="276" t="s">
        <v>378</v>
      </c>
      <c r="C23" s="290">
        <f>'CME variante - dettaglio'!N112</f>
        <v>18058.010000000002</v>
      </c>
    </row>
    <row r="24" spans="1:3" x14ac:dyDescent="0.2">
      <c r="A24" s="274"/>
      <c r="B24" s="276" t="s">
        <v>283</v>
      </c>
      <c r="C24" s="290">
        <f>[1]Misurazioni!$N$266</f>
        <v>60336.61</v>
      </c>
    </row>
    <row r="25" spans="1:3" x14ac:dyDescent="0.2">
      <c r="A25" s="274"/>
      <c r="B25" s="276" t="s">
        <v>295</v>
      </c>
      <c r="C25" s="295">
        <f>-C12</f>
        <v>-36543.67</v>
      </c>
    </row>
    <row r="26" spans="1:3" ht="6" customHeight="1" x14ac:dyDescent="0.2">
      <c r="A26" s="274"/>
      <c r="B26" s="321"/>
      <c r="C26" s="322"/>
    </row>
    <row r="27" spans="1:3" x14ac:dyDescent="0.2">
      <c r="A27" s="274"/>
      <c r="B27" s="276" t="s">
        <v>387</v>
      </c>
      <c r="C27" s="290">
        <v>2392.8200000000002</v>
      </c>
    </row>
    <row r="28" spans="1:3" x14ac:dyDescent="0.2">
      <c r="A28" s="274"/>
      <c r="B28" s="276" t="s">
        <v>382</v>
      </c>
      <c r="C28" s="290">
        <f>'CME variante - dettaglio'!Q466-C13+[1]Misurazioni!$N$267</f>
        <v>14403.468996</v>
      </c>
    </row>
    <row r="29" spans="1:3" ht="6" customHeight="1" x14ac:dyDescent="0.2">
      <c r="A29" s="274"/>
      <c r="B29" s="321"/>
      <c r="C29" s="322"/>
    </row>
    <row r="30" spans="1:3" ht="19.8" hidden="1" customHeight="1" x14ac:dyDescent="0.2">
      <c r="A30" s="274"/>
      <c r="B30" s="324" t="s">
        <v>388</v>
      </c>
      <c r="C30" s="323">
        <f>SUM(C18:C25)*(1-C6)</f>
        <v>106435.18480230001</v>
      </c>
    </row>
    <row r="31" spans="1:3" ht="6" hidden="1" customHeight="1" x14ac:dyDescent="0.2">
      <c r="A31" s="274"/>
      <c r="B31" s="321"/>
      <c r="C31" s="322"/>
    </row>
    <row r="32" spans="1:3" x14ac:dyDescent="0.2">
      <c r="A32" s="274"/>
      <c r="B32" s="319" t="s">
        <v>255</v>
      </c>
      <c r="C32" s="320">
        <f>SUM(C18:C28)</f>
        <v>234006.51899600006</v>
      </c>
    </row>
    <row r="33" spans="1:3" x14ac:dyDescent="0.25">
      <c r="A33" s="315"/>
      <c r="B33" s="280" t="s">
        <v>229</v>
      </c>
      <c r="C33" s="291">
        <f>C27+C28</f>
        <v>16796.288995999999</v>
      </c>
    </row>
    <row r="34" spans="1:3" x14ac:dyDescent="0.2">
      <c r="A34" s="330"/>
      <c r="B34" s="330"/>
      <c r="C34" s="330"/>
    </row>
    <row r="35" spans="1:3" x14ac:dyDescent="0.2">
      <c r="A35" s="326"/>
      <c r="B35" s="325" t="s">
        <v>304</v>
      </c>
      <c r="C35" s="320">
        <f>C14+C30+C33</f>
        <v>1252026.3301651001</v>
      </c>
    </row>
    <row r="36" spans="1:3" x14ac:dyDescent="0.25">
      <c r="A36" s="316"/>
      <c r="B36" s="280" t="s">
        <v>229</v>
      </c>
      <c r="C36" s="291">
        <f>C15+C33</f>
        <v>87994.388996000009</v>
      </c>
    </row>
    <row r="37" spans="1:3" x14ac:dyDescent="0.25">
      <c r="A37" s="273"/>
      <c r="B37" s="273"/>
      <c r="C37" s="292"/>
    </row>
    <row r="38" spans="1:3" x14ac:dyDescent="0.25">
      <c r="A38" s="275"/>
      <c r="B38" s="305" t="s">
        <v>303</v>
      </c>
      <c r="C38" s="306">
        <f>C35-C14</f>
        <v>123231.47379830014</v>
      </c>
    </row>
    <row r="39" spans="1:3" x14ac:dyDescent="0.25">
      <c r="A39" s="277"/>
      <c r="B39" s="277" t="s">
        <v>383</v>
      </c>
    </row>
    <row r="40" spans="1:3" x14ac:dyDescent="0.25">
      <c r="A40" s="278"/>
      <c r="B40" s="278"/>
      <c r="C40" s="292"/>
    </row>
    <row r="41" spans="1:3" x14ac:dyDescent="0.25">
      <c r="A41" s="277"/>
      <c r="B41" s="277" t="s">
        <v>230</v>
      </c>
    </row>
    <row r="42" spans="1:3" x14ac:dyDescent="0.25">
      <c r="A42" s="277"/>
      <c r="B42" s="277" t="s">
        <v>231</v>
      </c>
    </row>
  </sheetData>
  <mergeCells count="2">
    <mergeCell ref="A1:C1"/>
    <mergeCell ref="A34:C34"/>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0"/>
    <pageSetUpPr fitToPage="1"/>
  </sheetPr>
  <dimension ref="A1:S475"/>
  <sheetViews>
    <sheetView showGridLines="0" showZeros="0" view="pageBreakPreview" zoomScaleNormal="100" zoomScaleSheetLayoutView="100" workbookViewId="0">
      <pane xSplit="4" ySplit="3" topLeftCell="E4" activePane="bottomRight" state="frozen"/>
      <selection pane="topRight" activeCell="E1" sqref="E1"/>
      <selection pane="bottomLeft" activeCell="A4" sqref="A4"/>
      <selection pane="bottomRight" activeCell="B4" sqref="B4"/>
    </sheetView>
  </sheetViews>
  <sheetFormatPr defaultColWidth="9.28515625" defaultRowHeight="10.199999999999999" x14ac:dyDescent="0.2"/>
  <cols>
    <col min="1" max="1" width="1.28515625" style="2" customWidth="1"/>
    <col min="2" max="2" width="5.7109375" style="60" customWidth="1"/>
    <col min="3" max="3" width="16.85546875" style="3" hidden="1" customWidth="1"/>
    <col min="4" max="4" width="16.28515625" style="2" bestFit="1" customWidth="1"/>
    <col min="5" max="5" width="57.28515625" style="4" customWidth="1"/>
    <col min="6" max="6" width="10.85546875" style="140" customWidth="1"/>
    <col min="7" max="9" width="10.85546875" style="127" customWidth="1"/>
    <col min="10" max="10" width="6.140625" style="3" customWidth="1"/>
    <col min="11" max="11" width="12.5703125" style="87" bestFit="1" customWidth="1"/>
    <col min="12" max="12" width="11.28515625" style="3" customWidth="1"/>
    <col min="13" max="13" width="12.42578125" style="98" bestFit="1" customWidth="1"/>
    <col min="14" max="14" width="17.7109375" style="87" bestFit="1" customWidth="1"/>
    <col min="15" max="15" width="13.42578125" style="5" customWidth="1"/>
    <col min="16" max="16" width="14" style="2" customWidth="1"/>
    <col min="17" max="17" width="13.140625" style="42" customWidth="1"/>
    <col min="18" max="18" width="1.85546875" style="2" customWidth="1"/>
    <col min="19" max="19" width="9.42578125" style="2" bestFit="1" customWidth="1"/>
    <col min="20" max="250" width="9.28515625" style="2"/>
    <col min="251" max="252" width="11.140625" style="2" customWidth="1"/>
    <col min="253" max="16384" width="9.28515625" style="2"/>
  </cols>
  <sheetData>
    <row r="1" spans="1:19" ht="11.4" thickTop="1" thickBot="1" x14ac:dyDescent="0.25">
      <c r="B1" s="332" t="s">
        <v>49</v>
      </c>
      <c r="C1" s="333"/>
      <c r="D1" s="333"/>
      <c r="E1" s="333"/>
      <c r="F1" s="128"/>
      <c r="G1" s="114"/>
      <c r="H1" s="114"/>
      <c r="I1" s="114"/>
      <c r="J1" s="18"/>
      <c r="K1" s="76"/>
      <c r="L1" s="18"/>
      <c r="M1" s="88"/>
      <c r="N1" s="76"/>
      <c r="O1" s="20"/>
      <c r="P1" s="19"/>
      <c r="Q1" s="43"/>
    </row>
    <row r="2" spans="1:19" ht="10.8" thickTop="1" x14ac:dyDescent="0.2">
      <c r="A2" s="6"/>
      <c r="B2" s="56" t="s">
        <v>4</v>
      </c>
      <c r="C2" s="23" t="s">
        <v>20</v>
      </c>
      <c r="D2" s="23" t="s">
        <v>22</v>
      </c>
      <c r="E2" s="29" t="s">
        <v>5</v>
      </c>
      <c r="F2" s="129"/>
      <c r="G2" s="115" t="s">
        <v>6</v>
      </c>
      <c r="H2" s="115"/>
      <c r="I2" s="116"/>
      <c r="J2" s="24" t="s">
        <v>24</v>
      </c>
      <c r="K2" s="77" t="s">
        <v>7</v>
      </c>
      <c r="L2" s="25" t="s">
        <v>25</v>
      </c>
      <c r="M2" s="89" t="s">
        <v>26</v>
      </c>
      <c r="N2" s="77" t="s">
        <v>26</v>
      </c>
      <c r="O2" s="26" t="s">
        <v>27</v>
      </c>
      <c r="P2" s="25" t="s">
        <v>29</v>
      </c>
      <c r="Q2" s="44" t="s">
        <v>35</v>
      </c>
      <c r="R2" s="1"/>
      <c r="S2" s="1"/>
    </row>
    <row r="3" spans="1:19" ht="21" thickBot="1" x14ac:dyDescent="0.25">
      <c r="B3" s="105" t="s">
        <v>8</v>
      </c>
      <c r="C3" s="106" t="s">
        <v>21</v>
      </c>
      <c r="D3" s="106" t="s">
        <v>9</v>
      </c>
      <c r="E3" s="107" t="s">
        <v>10</v>
      </c>
      <c r="F3" s="130" t="s">
        <v>11</v>
      </c>
      <c r="G3" s="117" t="s">
        <v>12</v>
      </c>
      <c r="H3" s="117" t="s">
        <v>13</v>
      </c>
      <c r="I3" s="117" t="s">
        <v>14</v>
      </c>
      <c r="J3" s="107" t="s">
        <v>23</v>
      </c>
      <c r="K3" s="108" t="s">
        <v>15</v>
      </c>
      <c r="L3" s="109" t="s">
        <v>32</v>
      </c>
      <c r="M3" s="110" t="s">
        <v>33</v>
      </c>
      <c r="N3" s="111" t="s">
        <v>34</v>
      </c>
      <c r="O3" s="109" t="s">
        <v>28</v>
      </c>
      <c r="P3" s="112" t="s">
        <v>30</v>
      </c>
      <c r="Q3" s="113" t="s">
        <v>31</v>
      </c>
    </row>
    <row r="4" spans="1:19" s="49" customFormat="1" ht="27" thickTop="1" x14ac:dyDescent="0.2">
      <c r="B4" s="64"/>
      <c r="C4" s="27" t="s">
        <v>41</v>
      </c>
      <c r="D4" s="317" t="s">
        <v>367</v>
      </c>
      <c r="E4" s="28" t="s">
        <v>289</v>
      </c>
      <c r="F4" s="134"/>
      <c r="G4" s="118"/>
      <c r="H4" s="118"/>
      <c r="I4" s="118"/>
      <c r="J4" s="67"/>
      <c r="K4" s="81"/>
      <c r="L4" s="68"/>
      <c r="M4" s="92"/>
      <c r="N4" s="100"/>
      <c r="O4" s="72"/>
      <c r="P4" s="72">
        <f>J4*N4</f>
        <v>0</v>
      </c>
      <c r="Q4" s="73"/>
    </row>
    <row r="5" spans="1:19" s="49" customFormat="1" x14ac:dyDescent="0.2">
      <c r="B5" s="57"/>
      <c r="C5" s="50"/>
      <c r="D5" s="62"/>
      <c r="E5" s="63"/>
      <c r="F5" s="133"/>
      <c r="G5" s="121"/>
      <c r="H5" s="121"/>
      <c r="I5" s="121"/>
      <c r="J5" s="31"/>
      <c r="K5" s="78"/>
      <c r="L5" s="48"/>
      <c r="M5" s="91"/>
      <c r="N5" s="79"/>
      <c r="O5" s="22"/>
      <c r="P5" s="30"/>
      <c r="Q5" s="47"/>
    </row>
    <row r="6" spans="1:19" s="49" customFormat="1" ht="81.599999999999994" x14ac:dyDescent="0.2">
      <c r="B6" s="57" t="s">
        <v>277</v>
      </c>
      <c r="C6" s="50"/>
      <c r="D6" s="61" t="s">
        <v>44</v>
      </c>
      <c r="E6" s="61" t="s">
        <v>45</v>
      </c>
      <c r="F6" s="132"/>
      <c r="G6" s="120"/>
      <c r="H6" s="120"/>
      <c r="I6" s="120"/>
      <c r="J6" s="22"/>
      <c r="K6" s="79"/>
      <c r="L6" s="74"/>
      <c r="M6" s="93"/>
      <c r="N6" s="79"/>
      <c r="O6" s="22"/>
      <c r="P6" s="22"/>
      <c r="Q6" s="75"/>
    </row>
    <row r="7" spans="1:19" s="49" customFormat="1" x14ac:dyDescent="0.2">
      <c r="A7" s="141"/>
      <c r="B7" s="141"/>
      <c r="C7" s="50"/>
      <c r="D7" s="61"/>
      <c r="E7" s="61" t="s">
        <v>17</v>
      </c>
      <c r="F7" s="132"/>
      <c r="G7" s="120"/>
      <c r="H7" s="120"/>
      <c r="I7" s="120"/>
      <c r="J7" s="22"/>
      <c r="K7" s="79"/>
      <c r="L7" s="74"/>
      <c r="M7" s="93"/>
      <c r="N7" s="79"/>
      <c r="O7" s="22"/>
      <c r="P7" s="22"/>
      <c r="Q7" s="75"/>
    </row>
    <row r="8" spans="1:19" s="49" customFormat="1" x14ac:dyDescent="0.2">
      <c r="A8" s="141"/>
      <c r="B8" s="141"/>
      <c r="C8" s="50"/>
      <c r="D8" s="61"/>
      <c r="E8" s="61" t="s">
        <v>54</v>
      </c>
      <c r="F8" s="132">
        <v>1</v>
      </c>
      <c r="G8" s="120">
        <v>77.2</v>
      </c>
      <c r="H8" s="120">
        <v>14.5</v>
      </c>
      <c r="I8" s="120">
        <v>0.08</v>
      </c>
      <c r="J8" s="22"/>
      <c r="K8" s="79">
        <f>ROUND(PRODUCT(F8:I8),2)</f>
        <v>89.55</v>
      </c>
      <c r="L8" s="74"/>
      <c r="M8" s="93"/>
      <c r="N8" s="79"/>
      <c r="O8" s="22"/>
      <c r="P8" s="22"/>
      <c r="Q8" s="75"/>
    </row>
    <row r="9" spans="1:19" s="49" customFormat="1" x14ac:dyDescent="0.2">
      <c r="A9" s="141"/>
      <c r="B9" s="141"/>
      <c r="C9" s="50"/>
      <c r="D9" s="61"/>
      <c r="E9" s="22"/>
      <c r="F9" s="132"/>
      <c r="G9" s="120"/>
      <c r="H9" s="120"/>
      <c r="I9" s="120"/>
      <c r="J9" s="22"/>
      <c r="K9" s="79"/>
      <c r="L9" s="74"/>
      <c r="M9" s="93"/>
      <c r="N9" s="79"/>
      <c r="O9" s="22"/>
      <c r="P9" s="22"/>
      <c r="Q9" s="75"/>
    </row>
    <row r="10" spans="1:19" s="49" customFormat="1" x14ac:dyDescent="0.2">
      <c r="A10" s="141"/>
      <c r="B10" s="141"/>
      <c r="C10" s="50"/>
      <c r="D10" s="61"/>
      <c r="E10" s="22" t="s">
        <v>18</v>
      </c>
      <c r="F10" s="132"/>
      <c r="G10" s="120"/>
      <c r="H10" s="120"/>
      <c r="I10" s="120"/>
      <c r="J10" s="22" t="s">
        <v>42</v>
      </c>
      <c r="K10" s="79">
        <f>ROUND(SUM(K7:K9),2)</f>
        <v>89.55</v>
      </c>
      <c r="L10" s="51">
        <v>141.71</v>
      </c>
      <c r="M10" s="79">
        <f>ROUND(PRODUCT(K10:L10),2)</f>
        <v>12690.13</v>
      </c>
      <c r="N10" s="79"/>
      <c r="O10" s="22">
        <v>2.27</v>
      </c>
      <c r="P10" s="22">
        <f>O10*K10</f>
        <v>203.27850000000001</v>
      </c>
      <c r="Q10" s="75"/>
    </row>
    <row r="11" spans="1:19" s="49" customFormat="1" x14ac:dyDescent="0.2">
      <c r="A11" s="141"/>
      <c r="B11" s="141"/>
      <c r="C11" s="50"/>
      <c r="D11" s="61"/>
      <c r="E11" s="22"/>
      <c r="F11" s="132"/>
      <c r="G11" s="120"/>
      <c r="H11" s="120"/>
      <c r="I11" s="120"/>
      <c r="J11" s="22"/>
      <c r="K11" s="79"/>
      <c r="L11" s="51"/>
      <c r="M11" s="79"/>
      <c r="N11" s="79"/>
      <c r="O11" s="22"/>
      <c r="P11" s="22"/>
      <c r="Q11" s="75"/>
    </row>
    <row r="12" spans="1:19" s="49" customFormat="1" ht="51" x14ac:dyDescent="0.2">
      <c r="A12" s="141"/>
      <c r="B12" s="141" t="s">
        <v>278</v>
      </c>
      <c r="C12" s="50"/>
      <c r="D12" s="61" t="s">
        <v>46</v>
      </c>
      <c r="E12" s="61" t="s">
        <v>47</v>
      </c>
      <c r="F12" s="132"/>
      <c r="G12" s="120"/>
      <c r="H12" s="120"/>
      <c r="I12" s="120"/>
      <c r="J12" s="22"/>
      <c r="K12" s="79"/>
      <c r="L12" s="74"/>
      <c r="M12" s="93"/>
      <c r="N12" s="79"/>
      <c r="O12" s="22"/>
      <c r="P12" s="22"/>
      <c r="Q12" s="75"/>
    </row>
    <row r="13" spans="1:19" s="49" customFormat="1" x14ac:dyDescent="0.2">
      <c r="A13" s="141"/>
      <c r="B13" s="141"/>
      <c r="C13" s="50"/>
      <c r="D13" s="61"/>
      <c r="E13" s="61" t="s">
        <v>17</v>
      </c>
      <c r="F13" s="132"/>
      <c r="G13" s="120"/>
      <c r="H13" s="120"/>
      <c r="I13" s="120"/>
      <c r="J13" s="22"/>
      <c r="K13" s="79"/>
      <c r="L13" s="74"/>
      <c r="M13" s="93"/>
      <c r="N13" s="79"/>
      <c r="O13" s="22"/>
      <c r="P13" s="22"/>
      <c r="Q13" s="75"/>
    </row>
    <row r="14" spans="1:19" s="49" customFormat="1" x14ac:dyDescent="0.2">
      <c r="A14" s="141"/>
      <c r="B14" s="141"/>
      <c r="C14" s="50"/>
      <c r="D14" s="61"/>
      <c r="E14" s="61" t="s">
        <v>54</v>
      </c>
      <c r="F14" s="132">
        <v>1</v>
      </c>
      <c r="G14" s="120">
        <v>77.2</v>
      </c>
      <c r="H14" s="120">
        <v>14.5</v>
      </c>
      <c r="I14" s="120">
        <v>0.08</v>
      </c>
      <c r="J14" s="22"/>
      <c r="K14" s="79">
        <f>ROUND(PRODUCT(F14:I14),2)</f>
        <v>89.55</v>
      </c>
      <c r="L14" s="74"/>
      <c r="M14" s="93"/>
      <c r="N14" s="79"/>
      <c r="O14" s="22"/>
      <c r="P14" s="22"/>
      <c r="Q14" s="75"/>
    </row>
    <row r="15" spans="1:19" s="49" customFormat="1" x14ac:dyDescent="0.2">
      <c r="A15" s="141"/>
      <c r="B15" s="141"/>
      <c r="C15" s="50"/>
      <c r="D15" s="61"/>
      <c r="E15" s="22"/>
      <c r="F15" s="132"/>
      <c r="G15" s="120"/>
      <c r="H15" s="120"/>
      <c r="I15" s="120"/>
      <c r="J15" s="22"/>
      <c r="K15" s="79"/>
      <c r="L15" s="74"/>
      <c r="M15" s="93"/>
      <c r="N15" s="79"/>
      <c r="O15" s="22"/>
      <c r="P15" s="22"/>
      <c r="Q15" s="75"/>
    </row>
    <row r="16" spans="1:19" s="49" customFormat="1" x14ac:dyDescent="0.2">
      <c r="A16" s="141"/>
      <c r="B16" s="141"/>
      <c r="C16" s="50"/>
      <c r="D16" s="61"/>
      <c r="E16" s="22" t="s">
        <v>18</v>
      </c>
      <c r="F16" s="132"/>
      <c r="G16" s="120"/>
      <c r="H16" s="120"/>
      <c r="I16" s="120"/>
      <c r="J16" s="22" t="s">
        <v>42</v>
      </c>
      <c r="K16" s="79">
        <f>ROUND(SUM(K12:K15),2)</f>
        <v>89.55</v>
      </c>
      <c r="L16" s="51">
        <v>7.93</v>
      </c>
      <c r="M16" s="79">
        <f>ROUND(PRODUCT(K16:L16),2)</f>
        <v>710.13</v>
      </c>
      <c r="N16" s="79"/>
      <c r="O16" s="22">
        <v>0.13</v>
      </c>
      <c r="P16" s="22">
        <f>O16*K16</f>
        <v>11.641500000000001</v>
      </c>
      <c r="Q16" s="75"/>
    </row>
    <row r="17" spans="1:17" s="49" customFormat="1" x14ac:dyDescent="0.2">
      <c r="A17" s="141"/>
      <c r="B17" s="141"/>
      <c r="C17" s="50"/>
      <c r="D17" s="62"/>
      <c r="E17" s="63"/>
      <c r="F17" s="133"/>
      <c r="G17" s="121"/>
      <c r="H17" s="121"/>
      <c r="I17" s="153"/>
      <c r="J17" s="31"/>
      <c r="K17" s="80"/>
      <c r="L17" s="48"/>
      <c r="M17" s="91"/>
      <c r="N17" s="79"/>
      <c r="O17" s="22"/>
      <c r="P17" s="30">
        <f>O17*K17</f>
        <v>0</v>
      </c>
      <c r="Q17" s="47"/>
    </row>
    <row r="18" spans="1:17" s="49" customFormat="1" ht="30.6" x14ac:dyDescent="0.2">
      <c r="A18" s="141"/>
      <c r="B18" s="141" t="s">
        <v>279</v>
      </c>
      <c r="C18" s="50"/>
      <c r="D18" s="61" t="s">
        <v>48</v>
      </c>
      <c r="E18" s="61" t="s">
        <v>309</v>
      </c>
      <c r="F18" s="132"/>
      <c r="G18" s="120"/>
      <c r="H18" s="120"/>
      <c r="I18" s="120"/>
      <c r="J18" s="22"/>
      <c r="K18" s="79"/>
      <c r="L18" s="74"/>
      <c r="M18" s="93"/>
      <c r="N18" s="79"/>
      <c r="O18" s="22"/>
      <c r="P18" s="22"/>
      <c r="Q18" s="75"/>
    </row>
    <row r="19" spans="1:17" s="49" customFormat="1" x14ac:dyDescent="0.2">
      <c r="A19" s="141"/>
      <c r="B19" s="141"/>
      <c r="C19" s="50"/>
      <c r="D19" s="61"/>
      <c r="E19" s="61" t="s">
        <v>17</v>
      </c>
      <c r="F19" s="132"/>
      <c r="G19" s="120"/>
      <c r="H19" s="120"/>
      <c r="I19" s="120"/>
      <c r="J19" s="22"/>
      <c r="K19" s="79"/>
      <c r="L19" s="74"/>
      <c r="M19" s="93"/>
      <c r="N19" s="79"/>
      <c r="O19" s="22"/>
      <c r="P19" s="22"/>
      <c r="Q19" s="75"/>
    </row>
    <row r="20" spans="1:17" s="49" customFormat="1" x14ac:dyDescent="0.2">
      <c r="A20" s="141"/>
      <c r="B20" s="141"/>
      <c r="C20" s="50"/>
      <c r="D20" s="61"/>
      <c r="E20" s="61" t="s">
        <v>54</v>
      </c>
      <c r="F20" s="132">
        <v>1</v>
      </c>
      <c r="G20" s="120">
        <v>77.2</v>
      </c>
      <c r="H20" s="120">
        <v>14.5</v>
      </c>
      <c r="I20" s="120">
        <v>0.08</v>
      </c>
      <c r="J20" s="22"/>
      <c r="K20" s="79">
        <f>ROUND(PRODUCT(F20:I20),2)</f>
        <v>89.55</v>
      </c>
      <c r="L20" s="74"/>
      <c r="M20" s="93"/>
      <c r="N20" s="79"/>
      <c r="O20" s="22"/>
      <c r="P20" s="22"/>
      <c r="Q20" s="75"/>
    </row>
    <row r="21" spans="1:17" s="49" customFormat="1" x14ac:dyDescent="0.2">
      <c r="A21" s="141"/>
      <c r="B21" s="141"/>
      <c r="C21" s="50"/>
      <c r="D21" s="61"/>
      <c r="E21" s="22"/>
      <c r="F21" s="132"/>
      <c r="G21" s="120"/>
      <c r="H21" s="120"/>
      <c r="I21" s="120"/>
      <c r="J21" s="22"/>
      <c r="K21" s="79"/>
      <c r="L21" s="74"/>
      <c r="M21" s="93"/>
      <c r="N21" s="79"/>
      <c r="O21" s="22"/>
      <c r="P21" s="22"/>
      <c r="Q21" s="75"/>
    </row>
    <row r="22" spans="1:17" s="49" customFormat="1" x14ac:dyDescent="0.2">
      <c r="A22" s="141"/>
      <c r="B22" s="141"/>
      <c r="C22" s="50"/>
      <c r="D22" s="61"/>
      <c r="E22" s="22" t="s">
        <v>18</v>
      </c>
      <c r="F22" s="132"/>
      <c r="G22" s="120"/>
      <c r="H22" s="120"/>
      <c r="I22" s="120"/>
      <c r="J22" s="22" t="s">
        <v>42</v>
      </c>
      <c r="K22" s="79">
        <f>ROUND(SUM(K18:K21),2)</f>
        <v>89.55</v>
      </c>
      <c r="L22" s="51">
        <v>2.57</v>
      </c>
      <c r="M22" s="79">
        <f>ROUND(PRODUCT(K22:L22),2)</f>
        <v>230.14</v>
      </c>
      <c r="N22" s="79"/>
      <c r="O22" s="22">
        <v>0.02</v>
      </c>
      <c r="P22" s="22">
        <f>O22*K22</f>
        <v>1.7909999999999999</v>
      </c>
      <c r="Q22" s="75"/>
    </row>
    <row r="23" spans="1:17" s="49" customFormat="1" x14ac:dyDescent="0.2">
      <c r="A23" s="141"/>
      <c r="B23" s="141"/>
      <c r="C23" s="50"/>
      <c r="D23" s="62"/>
      <c r="E23" s="63"/>
      <c r="F23" s="133"/>
      <c r="G23" s="121"/>
      <c r="H23" s="121"/>
      <c r="I23" s="121"/>
      <c r="J23" s="31"/>
      <c r="K23" s="80"/>
      <c r="L23" s="48"/>
      <c r="M23" s="91"/>
      <c r="N23" s="79"/>
      <c r="O23" s="22"/>
      <c r="P23" s="30">
        <f>O23*K23</f>
        <v>0</v>
      </c>
      <c r="Q23" s="47"/>
    </row>
    <row r="24" spans="1:17" s="49" customFormat="1" x14ac:dyDescent="0.2">
      <c r="A24" s="141"/>
      <c r="B24" s="141"/>
      <c r="C24" s="50"/>
      <c r="D24" s="21"/>
      <c r="E24" s="30"/>
      <c r="F24" s="131"/>
      <c r="G24" s="119"/>
      <c r="H24" s="119"/>
      <c r="I24" s="119"/>
      <c r="J24" s="30"/>
      <c r="K24" s="78"/>
      <c r="L24" s="48"/>
      <c r="M24" s="90"/>
      <c r="N24" s="79"/>
      <c r="O24" s="22"/>
      <c r="P24" s="30"/>
      <c r="Q24" s="47"/>
    </row>
    <row r="25" spans="1:17" ht="20.399999999999999" x14ac:dyDescent="0.2">
      <c r="A25" s="141"/>
      <c r="B25" s="141" t="s">
        <v>280</v>
      </c>
      <c r="C25" s="142"/>
      <c r="D25" s="61" t="s">
        <v>51</v>
      </c>
      <c r="E25" s="61" t="s">
        <v>52</v>
      </c>
      <c r="F25" s="143"/>
      <c r="G25" s="143"/>
      <c r="H25" s="144"/>
      <c r="I25" s="144"/>
      <c r="J25" s="143"/>
      <c r="K25" s="143"/>
      <c r="L25" s="143"/>
      <c r="M25" s="145"/>
      <c r="N25" s="146"/>
      <c r="O25" s="143"/>
      <c r="P25" s="147">
        <f>O25*K25</f>
        <v>0</v>
      </c>
      <c r="Q25" s="148"/>
    </row>
    <row r="26" spans="1:17" x14ac:dyDescent="0.2">
      <c r="A26" s="141"/>
      <c r="B26" s="141"/>
      <c r="C26" s="142"/>
      <c r="D26" s="149"/>
      <c r="E26" s="149" t="s">
        <v>17</v>
      </c>
      <c r="F26" s="143"/>
      <c r="G26" s="143"/>
      <c r="H26" s="144"/>
      <c r="I26" s="144"/>
      <c r="J26" s="143"/>
      <c r="K26" s="143"/>
      <c r="L26" s="143"/>
      <c r="M26" s="145"/>
      <c r="N26" s="146"/>
      <c r="O26" s="143"/>
      <c r="P26" s="147">
        <f>O26*K26</f>
        <v>0</v>
      </c>
      <c r="Q26" s="148"/>
    </row>
    <row r="27" spans="1:17" x14ac:dyDescent="0.2">
      <c r="A27" s="141"/>
      <c r="B27" s="141"/>
      <c r="C27" s="142"/>
      <c r="D27" s="149"/>
      <c r="E27" s="149" t="s">
        <v>53</v>
      </c>
      <c r="F27" s="143">
        <v>1.2</v>
      </c>
      <c r="G27" s="120">
        <v>77.2</v>
      </c>
      <c r="H27" s="120">
        <v>14.5</v>
      </c>
      <c r="I27" s="144">
        <v>2.29</v>
      </c>
      <c r="J27" s="150"/>
      <c r="K27" s="145">
        <f>ROUND(PRODUCT(F27:I27),2)</f>
        <v>3076.11</v>
      </c>
      <c r="L27" s="151"/>
      <c r="M27" s="143"/>
      <c r="N27" s="146"/>
      <c r="O27" s="143"/>
      <c r="P27" s="147">
        <f>O27*K27</f>
        <v>0</v>
      </c>
      <c r="Q27" s="148"/>
    </row>
    <row r="28" spans="1:17" x14ac:dyDescent="0.2">
      <c r="A28" s="141"/>
      <c r="B28" s="141"/>
      <c r="C28" s="142"/>
      <c r="D28" s="149"/>
      <c r="E28" s="143"/>
      <c r="F28" s="143"/>
      <c r="G28" s="143"/>
      <c r="H28" s="144"/>
      <c r="I28" s="144"/>
      <c r="J28" s="150"/>
      <c r="K28" s="145"/>
      <c r="L28" s="151"/>
      <c r="M28" s="143"/>
      <c r="N28" s="146"/>
      <c r="O28" s="143"/>
      <c r="P28" s="147">
        <f>O28*K28</f>
        <v>0</v>
      </c>
      <c r="Q28" s="148"/>
    </row>
    <row r="29" spans="1:17" x14ac:dyDescent="0.2">
      <c r="A29" s="141"/>
      <c r="B29" s="141"/>
      <c r="C29" s="142"/>
      <c r="D29" s="149"/>
      <c r="E29" s="143" t="s">
        <v>19</v>
      </c>
      <c r="F29" s="143"/>
      <c r="G29" s="143"/>
      <c r="H29" s="144"/>
      <c r="I29" s="144"/>
      <c r="J29" s="152" t="s">
        <v>43</v>
      </c>
      <c r="K29" s="145">
        <f>ROUND(SUM(K27:K28),2)</f>
        <v>3076.11</v>
      </c>
      <c r="L29" s="151">
        <v>1.29</v>
      </c>
      <c r="M29" s="143">
        <f>ROUND(PRODUCT(K29:L29),2)</f>
        <v>3968.18</v>
      </c>
      <c r="N29" s="146"/>
      <c r="O29" s="22" t="s">
        <v>40</v>
      </c>
      <c r="P29" s="147">
        <f>O29*K29</f>
        <v>61.522200000000005</v>
      </c>
      <c r="Q29" s="148"/>
    </row>
    <row r="30" spans="1:17" s="49" customFormat="1" x14ac:dyDescent="0.2">
      <c r="A30" s="141"/>
      <c r="B30" s="141"/>
      <c r="C30" s="50"/>
      <c r="D30" s="21"/>
      <c r="E30" s="30"/>
      <c r="F30" s="131"/>
      <c r="G30" s="119"/>
      <c r="H30" s="119"/>
      <c r="I30" s="119"/>
      <c r="J30" s="30"/>
      <c r="K30" s="78"/>
      <c r="L30" s="48"/>
      <c r="M30" s="90"/>
      <c r="N30" s="79"/>
      <c r="O30" s="22"/>
      <c r="P30" s="30"/>
      <c r="Q30" s="47"/>
    </row>
    <row r="31" spans="1:17" s="49" customFormat="1" ht="81.599999999999994" x14ac:dyDescent="0.2">
      <c r="A31" s="141"/>
      <c r="B31" s="141" t="s">
        <v>281</v>
      </c>
      <c r="C31" s="50"/>
      <c r="D31" s="21" t="s">
        <v>55</v>
      </c>
      <c r="E31" s="21" t="s">
        <v>56</v>
      </c>
      <c r="F31" s="131"/>
      <c r="G31" s="119"/>
      <c r="H31" s="119"/>
      <c r="I31" s="119"/>
      <c r="J31" s="30"/>
      <c r="K31" s="78"/>
      <c r="L31" s="48"/>
      <c r="M31" s="91"/>
      <c r="N31" s="79"/>
      <c r="O31" s="22"/>
      <c r="P31" s="30">
        <f t="shared" ref="P31:P51" si="0">O31*K31</f>
        <v>0</v>
      </c>
      <c r="Q31" s="47"/>
    </row>
    <row r="32" spans="1:17" s="49" customFormat="1" x14ac:dyDescent="0.2">
      <c r="A32" s="141"/>
      <c r="B32" s="141"/>
      <c r="C32" s="50"/>
      <c r="D32" s="21"/>
      <c r="E32" s="21" t="s">
        <v>17</v>
      </c>
      <c r="F32" s="131"/>
      <c r="G32" s="119"/>
      <c r="H32" s="119"/>
      <c r="I32" s="119"/>
      <c r="J32" s="30"/>
      <c r="K32" s="78"/>
      <c r="L32" s="48"/>
      <c r="M32" s="91"/>
      <c r="N32" s="79"/>
      <c r="O32" s="22"/>
      <c r="P32" s="30">
        <f t="shared" si="0"/>
        <v>0</v>
      </c>
      <c r="Q32" s="47"/>
    </row>
    <row r="33" spans="1:17" s="49" customFormat="1" ht="20.399999999999999" x14ac:dyDescent="0.2">
      <c r="A33" s="141"/>
      <c r="B33" s="141"/>
      <c r="C33" s="50"/>
      <c r="D33" s="21"/>
      <c r="E33" s="21" t="s">
        <v>59</v>
      </c>
      <c r="F33" s="131">
        <v>1</v>
      </c>
      <c r="G33" s="119">
        <v>5.51</v>
      </c>
      <c r="H33" s="119">
        <v>14.5</v>
      </c>
      <c r="I33" s="119"/>
      <c r="J33" s="30"/>
      <c r="K33" s="78">
        <f>ROUND(PRODUCT(F33:I33),2)</f>
        <v>79.900000000000006</v>
      </c>
      <c r="L33" s="48"/>
      <c r="M33" s="91"/>
      <c r="N33" s="79"/>
      <c r="O33" s="22"/>
      <c r="P33" s="30">
        <f t="shared" si="0"/>
        <v>0</v>
      </c>
      <c r="Q33" s="47"/>
    </row>
    <row r="34" spans="1:17" s="49" customFormat="1" x14ac:dyDescent="0.2">
      <c r="A34" s="141"/>
      <c r="B34" s="141"/>
      <c r="C34" s="50"/>
      <c r="D34" s="21"/>
      <c r="E34" s="30"/>
      <c r="F34" s="131"/>
      <c r="G34" s="119"/>
      <c r="H34" s="119"/>
      <c r="I34" s="119"/>
      <c r="J34" s="30"/>
      <c r="K34" s="78"/>
      <c r="L34" s="48"/>
      <c r="M34" s="91"/>
      <c r="N34" s="79"/>
      <c r="O34" s="22"/>
      <c r="P34" s="30">
        <f t="shared" si="0"/>
        <v>0</v>
      </c>
      <c r="Q34" s="47"/>
    </row>
    <row r="35" spans="1:17" s="49" customFormat="1" x14ac:dyDescent="0.2">
      <c r="A35" s="141"/>
      <c r="B35" s="141"/>
      <c r="C35" s="50"/>
      <c r="D35" s="21"/>
      <c r="E35" s="30" t="s">
        <v>57</v>
      </c>
      <c r="F35" s="131"/>
      <c r="G35" s="119"/>
      <c r="H35" s="119"/>
      <c r="I35" s="119"/>
      <c r="J35" s="30" t="s">
        <v>58</v>
      </c>
      <c r="K35" s="78">
        <f>ROUND(SUM(K30:K34),2)</f>
        <v>79.900000000000006</v>
      </c>
      <c r="L35" s="48">
        <v>42.31</v>
      </c>
      <c r="M35" s="90">
        <f>ROUND(PRODUCT(K35:L35),2)</f>
        <v>3380.57</v>
      </c>
      <c r="N35" s="79"/>
      <c r="O35" s="22">
        <v>1.22</v>
      </c>
      <c r="P35" s="30">
        <f t="shared" si="0"/>
        <v>97.478000000000009</v>
      </c>
      <c r="Q35" s="47"/>
    </row>
    <row r="36" spans="1:17" s="49" customFormat="1" x14ac:dyDescent="0.2">
      <c r="A36" s="141"/>
      <c r="B36" s="141"/>
      <c r="C36" s="50"/>
      <c r="D36" s="21"/>
      <c r="E36" s="30"/>
      <c r="F36" s="131"/>
      <c r="G36" s="119"/>
      <c r="H36" s="119"/>
      <c r="I36" s="119"/>
      <c r="J36" s="30"/>
      <c r="K36" s="78"/>
      <c r="L36" s="48"/>
      <c r="M36" s="90"/>
      <c r="N36" s="79"/>
      <c r="O36" s="22"/>
      <c r="P36" s="30"/>
      <c r="Q36" s="47"/>
    </row>
    <row r="37" spans="1:17" s="49" customFormat="1" ht="61.2" x14ac:dyDescent="0.2">
      <c r="A37" s="141"/>
      <c r="B37" s="141" t="s">
        <v>286</v>
      </c>
      <c r="C37" s="50"/>
      <c r="D37" s="21" t="s">
        <v>284</v>
      </c>
      <c r="E37" s="21" t="s">
        <v>285</v>
      </c>
      <c r="F37" s="131"/>
      <c r="G37" s="119"/>
      <c r="H37" s="119"/>
      <c r="I37" s="119"/>
      <c r="J37" s="31"/>
      <c r="K37" s="80"/>
      <c r="L37" s="48"/>
      <c r="M37" s="91"/>
      <c r="N37" s="79"/>
      <c r="O37" s="22"/>
      <c r="P37" s="30"/>
      <c r="Q37" s="47"/>
    </row>
    <row r="38" spans="1:17" s="49" customFormat="1" x14ac:dyDescent="0.2">
      <c r="A38" s="141"/>
      <c r="B38" s="141"/>
      <c r="C38" s="50"/>
      <c r="D38" s="21"/>
      <c r="E38" s="21" t="s">
        <v>17</v>
      </c>
      <c r="F38" s="131"/>
      <c r="G38" s="119"/>
      <c r="H38" s="119"/>
      <c r="I38" s="119"/>
      <c r="J38" s="31"/>
      <c r="K38" s="80"/>
      <c r="L38" s="48"/>
      <c r="M38" s="91"/>
      <c r="N38" s="79"/>
      <c r="O38" s="22"/>
      <c r="P38" s="30"/>
      <c r="Q38" s="47"/>
    </row>
    <row r="39" spans="1:17" s="49" customFormat="1" ht="21.6" customHeight="1" x14ac:dyDescent="0.2">
      <c r="A39" s="141"/>
      <c r="B39" s="141"/>
      <c r="C39" s="50"/>
      <c r="D39" s="21"/>
      <c r="E39" s="307" t="s">
        <v>310</v>
      </c>
      <c r="F39" s="131">
        <v>1</v>
      </c>
      <c r="G39" s="119">
        <v>10</v>
      </c>
      <c r="H39" s="119">
        <v>12</v>
      </c>
      <c r="I39" s="119">
        <v>0.1</v>
      </c>
      <c r="J39" s="31"/>
      <c r="K39" s="78">
        <f>ROUND(PRODUCT(F39:I39),2)</f>
        <v>12</v>
      </c>
      <c r="L39" s="48"/>
      <c r="M39" s="91"/>
      <c r="N39" s="79"/>
      <c r="O39" s="22"/>
      <c r="P39" s="30"/>
      <c r="Q39" s="47"/>
    </row>
    <row r="40" spans="1:17" s="49" customFormat="1" x14ac:dyDescent="0.2">
      <c r="A40" s="141"/>
      <c r="B40" s="141"/>
      <c r="C40" s="50"/>
      <c r="D40" s="21"/>
      <c r="E40" s="21"/>
      <c r="F40" s="131"/>
      <c r="G40" s="119"/>
      <c r="H40" s="119"/>
      <c r="I40" s="119"/>
      <c r="J40" s="31"/>
      <c r="K40" s="78"/>
      <c r="L40" s="48"/>
      <c r="M40" s="91"/>
      <c r="N40" s="79"/>
      <c r="O40" s="22"/>
      <c r="P40" s="30"/>
      <c r="Q40" s="47"/>
    </row>
    <row r="41" spans="1:17" s="49" customFormat="1" x14ac:dyDescent="0.2">
      <c r="A41" s="141"/>
      <c r="B41" s="141"/>
      <c r="C41" s="50"/>
      <c r="D41" s="21"/>
      <c r="E41" s="30" t="s">
        <v>18</v>
      </c>
      <c r="F41" s="131"/>
      <c r="G41" s="119"/>
      <c r="H41" s="119"/>
      <c r="I41" s="119"/>
      <c r="J41" s="31" t="s">
        <v>42</v>
      </c>
      <c r="K41" s="78">
        <f>ROUND(SUM(K37:K39),2)</f>
        <v>12</v>
      </c>
      <c r="L41" s="48">
        <v>114.95</v>
      </c>
      <c r="M41" s="90">
        <f>ROUND(PRODUCT(K41:L41),2)</f>
        <v>1379.4</v>
      </c>
      <c r="N41" s="79"/>
      <c r="O41" s="22">
        <v>1.84</v>
      </c>
      <c r="P41" s="30">
        <f>O41*K41</f>
        <v>22.080000000000002</v>
      </c>
      <c r="Q41" s="47"/>
    </row>
    <row r="42" spans="1:17" s="49" customFormat="1" x14ac:dyDescent="0.2">
      <c r="A42" s="141"/>
      <c r="B42" s="141"/>
      <c r="C42" s="50"/>
      <c r="D42" s="62"/>
      <c r="E42" s="63"/>
      <c r="F42" s="133"/>
      <c r="G42" s="121"/>
      <c r="H42" s="121"/>
      <c r="I42" s="121"/>
      <c r="J42" s="31"/>
      <c r="K42" s="78"/>
      <c r="L42" s="48"/>
      <c r="M42" s="91"/>
      <c r="N42" s="79"/>
      <c r="O42" s="22"/>
      <c r="P42" s="30"/>
      <c r="Q42" s="47"/>
    </row>
    <row r="43" spans="1:17" s="49" customFormat="1" x14ac:dyDescent="0.2">
      <c r="A43" s="141"/>
      <c r="B43" s="141"/>
      <c r="C43" s="50"/>
      <c r="D43" s="61"/>
      <c r="E43" s="22"/>
      <c r="F43" s="132"/>
      <c r="G43" s="120"/>
      <c r="H43" s="120"/>
      <c r="I43" s="120"/>
      <c r="J43" s="22"/>
      <c r="K43" s="79"/>
      <c r="L43" s="51"/>
      <c r="M43" s="79"/>
      <c r="N43" s="79"/>
      <c r="O43" s="22"/>
      <c r="P43" s="22"/>
      <c r="Q43" s="75"/>
    </row>
    <row r="44" spans="1:17" s="49" customFormat="1" ht="51" x14ac:dyDescent="0.2">
      <c r="A44" s="141"/>
      <c r="B44" s="141" t="s">
        <v>287</v>
      </c>
      <c r="C44" s="50"/>
      <c r="D44" s="61" t="s">
        <v>46</v>
      </c>
      <c r="E44" s="61" t="s">
        <v>47</v>
      </c>
      <c r="F44" s="132"/>
      <c r="G44" s="120"/>
      <c r="H44" s="120"/>
      <c r="I44" s="120"/>
      <c r="J44" s="22"/>
      <c r="K44" s="79"/>
      <c r="L44" s="74"/>
      <c r="M44" s="93"/>
      <c r="N44" s="79"/>
      <c r="O44" s="22"/>
      <c r="P44" s="22"/>
      <c r="Q44" s="75"/>
    </row>
    <row r="45" spans="1:17" s="49" customFormat="1" x14ac:dyDescent="0.2">
      <c r="A45" s="141"/>
      <c r="B45" s="141"/>
      <c r="C45" s="50"/>
      <c r="D45" s="61"/>
      <c r="E45" s="61" t="s">
        <v>17</v>
      </c>
      <c r="F45" s="132"/>
      <c r="G45" s="120"/>
      <c r="H45" s="120"/>
      <c r="I45" s="120"/>
      <c r="J45" s="22"/>
      <c r="K45" s="79"/>
      <c r="L45" s="74"/>
      <c r="M45" s="93"/>
      <c r="N45" s="79"/>
      <c r="O45" s="22"/>
      <c r="P45" s="22"/>
      <c r="Q45" s="75"/>
    </row>
    <row r="46" spans="1:17" s="49" customFormat="1" x14ac:dyDescent="0.2">
      <c r="A46" s="141"/>
      <c r="B46" s="141"/>
      <c r="C46" s="50"/>
      <c r="D46" s="61"/>
      <c r="E46" s="61" t="s">
        <v>288</v>
      </c>
      <c r="F46" s="132">
        <v>1</v>
      </c>
      <c r="G46" s="119">
        <v>10</v>
      </c>
      <c r="H46" s="119">
        <v>12</v>
      </c>
      <c r="I46" s="119">
        <v>0.1</v>
      </c>
      <c r="J46" s="22"/>
      <c r="K46" s="79">
        <f>ROUND(PRODUCT(F46:I46),2)</f>
        <v>12</v>
      </c>
      <c r="L46" s="74"/>
      <c r="M46" s="93"/>
      <c r="N46" s="79"/>
      <c r="O46" s="22"/>
      <c r="P46" s="22"/>
      <c r="Q46" s="75"/>
    </row>
    <row r="47" spans="1:17" s="49" customFormat="1" x14ac:dyDescent="0.2">
      <c r="A47" s="141"/>
      <c r="B47" s="141"/>
      <c r="C47" s="50"/>
      <c r="D47" s="61"/>
      <c r="E47" s="61" t="s">
        <v>282</v>
      </c>
      <c r="F47" s="132">
        <v>1</v>
      </c>
      <c r="G47" s="119">
        <v>80</v>
      </c>
      <c r="H47" s="119">
        <v>26</v>
      </c>
      <c r="I47" s="120">
        <v>0.15</v>
      </c>
      <c r="J47" s="22"/>
      <c r="K47" s="79">
        <f>ROUND(PRODUCT(F47:I47),2)</f>
        <v>312</v>
      </c>
      <c r="L47" s="74"/>
      <c r="M47" s="93"/>
      <c r="N47" s="79"/>
      <c r="O47" s="22"/>
      <c r="P47" s="22"/>
      <c r="Q47" s="75"/>
    </row>
    <row r="48" spans="1:17" s="49" customFormat="1" x14ac:dyDescent="0.2">
      <c r="A48" s="141"/>
      <c r="B48" s="141"/>
      <c r="C48" s="50"/>
      <c r="D48" s="61"/>
      <c r="E48" s="22"/>
      <c r="F48" s="132"/>
      <c r="G48" s="120"/>
      <c r="H48" s="120"/>
      <c r="I48" s="120"/>
      <c r="J48" s="22"/>
      <c r="K48" s="79"/>
      <c r="L48" s="74"/>
      <c r="M48" s="93"/>
      <c r="N48" s="79"/>
      <c r="O48" s="22"/>
      <c r="P48" s="22"/>
      <c r="Q48" s="75"/>
    </row>
    <row r="49" spans="1:17" s="49" customFormat="1" x14ac:dyDescent="0.2">
      <c r="A49" s="141"/>
      <c r="B49" s="141"/>
      <c r="C49" s="50"/>
      <c r="D49" s="61"/>
      <c r="E49" s="22" t="s">
        <v>18</v>
      </c>
      <c r="F49" s="132"/>
      <c r="G49" s="120"/>
      <c r="H49" s="120"/>
      <c r="I49" s="120"/>
      <c r="J49" s="22" t="s">
        <v>42</v>
      </c>
      <c r="K49" s="79">
        <f>ROUND(SUM(K44:K48),2)</f>
        <v>324</v>
      </c>
      <c r="L49" s="51">
        <v>7.93</v>
      </c>
      <c r="M49" s="79">
        <f>ROUND(PRODUCT(K49:L49),2)</f>
        <v>2569.3200000000002</v>
      </c>
      <c r="N49" s="79"/>
      <c r="O49" s="22">
        <v>0.13</v>
      </c>
      <c r="P49" s="22">
        <f>O49*K49</f>
        <v>42.120000000000005</v>
      </c>
      <c r="Q49" s="75"/>
    </row>
    <row r="50" spans="1:17" s="49" customFormat="1" x14ac:dyDescent="0.2">
      <c r="A50" s="141"/>
      <c r="B50" s="141"/>
      <c r="C50" s="50"/>
      <c r="D50" s="62"/>
      <c r="E50" s="63"/>
      <c r="F50" s="133"/>
      <c r="G50" s="121"/>
      <c r="H50" s="121"/>
      <c r="I50" s="153"/>
      <c r="J50" s="31"/>
      <c r="K50" s="80"/>
      <c r="L50" s="48"/>
      <c r="M50" s="91"/>
      <c r="N50" s="79"/>
      <c r="O50" s="22"/>
      <c r="P50" s="30">
        <f>O50*K50</f>
        <v>0</v>
      </c>
      <c r="Q50" s="47"/>
    </row>
    <row r="51" spans="1:17" s="49" customFormat="1" x14ac:dyDescent="0.2">
      <c r="A51" s="141"/>
      <c r="B51" s="141"/>
      <c r="C51" s="50"/>
      <c r="D51" s="62"/>
      <c r="E51" s="63"/>
      <c r="F51" s="133"/>
      <c r="G51" s="121"/>
      <c r="H51" s="121"/>
      <c r="I51" s="121"/>
      <c r="J51" s="31"/>
      <c r="K51" s="80"/>
      <c r="L51" s="48"/>
      <c r="M51" s="91"/>
      <c r="N51" s="79"/>
      <c r="O51" s="22"/>
      <c r="P51" s="30">
        <f t="shared" si="0"/>
        <v>0</v>
      </c>
      <c r="Q51" s="47"/>
    </row>
    <row r="52" spans="1:17" s="49" customFormat="1" ht="39.6" x14ac:dyDescent="0.2">
      <c r="A52" s="141"/>
      <c r="B52" s="297" t="s">
        <v>305</v>
      </c>
      <c r="C52" s="65"/>
      <c r="D52" s="66"/>
      <c r="E52" s="28" t="str">
        <f>CONCATENATE("Totale fase ",E4)</f>
        <v>Totale fase ADEGUAMENTO SOLETTA VESPAIO AERATO E ALTRE OPERE DI FONDAZIONE</v>
      </c>
      <c r="F52" s="134"/>
      <c r="G52" s="118"/>
      <c r="H52" s="118"/>
      <c r="I52" s="118"/>
      <c r="J52" s="67"/>
      <c r="K52" s="81"/>
      <c r="L52" s="68"/>
      <c r="M52" s="92"/>
      <c r="N52" s="99">
        <f>SUM(M5:M51)</f>
        <v>24927.87</v>
      </c>
      <c r="O52" s="69"/>
      <c r="P52" s="70"/>
      <c r="Q52" s="71">
        <f>SUM(P5:P51)</f>
        <v>439.91120000000001</v>
      </c>
    </row>
    <row r="53" spans="1:17" ht="21" customHeight="1" x14ac:dyDescent="0.2">
      <c r="B53" s="334"/>
      <c r="C53" s="335"/>
      <c r="D53" s="335"/>
      <c r="E53" s="335"/>
      <c r="F53" s="335"/>
      <c r="G53" s="335"/>
      <c r="H53" s="335"/>
      <c r="I53" s="335"/>
      <c r="J53" s="335"/>
      <c r="K53" s="335"/>
      <c r="L53" s="335"/>
      <c r="M53" s="335"/>
      <c r="N53" s="335"/>
      <c r="O53" s="335"/>
      <c r="P53" s="335"/>
      <c r="Q53" s="336"/>
    </row>
    <row r="54" spans="1:17" s="49" customFormat="1" ht="26.4" x14ac:dyDescent="0.2">
      <c r="A54" s="141"/>
      <c r="B54" s="141"/>
      <c r="C54" s="27" t="s">
        <v>41</v>
      </c>
      <c r="D54" s="317" t="s">
        <v>367</v>
      </c>
      <c r="E54" s="28" t="s">
        <v>60</v>
      </c>
      <c r="F54" s="134"/>
      <c r="G54" s="118"/>
      <c r="H54" s="118"/>
      <c r="I54" s="118"/>
      <c r="J54" s="67"/>
      <c r="K54" s="81"/>
      <c r="L54" s="68"/>
      <c r="M54" s="92"/>
      <c r="N54" s="100"/>
      <c r="O54" s="72"/>
      <c r="P54" s="72">
        <f>J54*N54</f>
        <v>0</v>
      </c>
      <c r="Q54" s="73"/>
    </row>
    <row r="55" spans="1:17" s="49" customFormat="1" x14ac:dyDescent="0.2">
      <c r="A55" s="141"/>
      <c r="B55" s="141"/>
      <c r="C55" s="50"/>
      <c r="D55" s="62"/>
      <c r="E55" s="63"/>
      <c r="F55" s="133"/>
      <c r="G55" s="121"/>
      <c r="H55" s="121"/>
      <c r="I55" s="121"/>
      <c r="J55" s="31"/>
      <c r="K55" s="78"/>
      <c r="L55" s="48"/>
      <c r="M55" s="91"/>
      <c r="N55" s="79"/>
      <c r="O55" s="22"/>
      <c r="P55" s="30"/>
      <c r="Q55" s="47"/>
    </row>
    <row r="56" spans="1:17" ht="81.599999999999994" x14ac:dyDescent="0.2">
      <c r="A56" s="141"/>
      <c r="B56" s="141" t="s">
        <v>290</v>
      </c>
      <c r="C56" s="154">
        <v>1</v>
      </c>
      <c r="D56" s="21" t="s">
        <v>61</v>
      </c>
      <c r="E56" s="21" t="s">
        <v>62</v>
      </c>
      <c r="F56" s="147"/>
      <c r="G56" s="147"/>
      <c r="H56" s="156"/>
      <c r="I56" s="156"/>
      <c r="J56" s="147"/>
      <c r="K56" s="147"/>
      <c r="L56" s="157"/>
      <c r="M56" s="158"/>
      <c r="N56" s="147"/>
      <c r="O56" s="147"/>
      <c r="P56" s="147"/>
      <c r="Q56" s="148"/>
    </row>
    <row r="57" spans="1:17" x14ac:dyDescent="0.2">
      <c r="A57" s="141"/>
      <c r="B57" s="141"/>
      <c r="C57" s="154"/>
      <c r="D57" s="159"/>
      <c r="E57" s="159" t="s">
        <v>17</v>
      </c>
      <c r="F57" s="147"/>
      <c r="G57" s="147"/>
      <c r="H57" s="156"/>
      <c r="I57" s="156"/>
      <c r="J57" s="147"/>
      <c r="K57" s="147"/>
      <c r="L57" s="157"/>
      <c r="M57" s="158"/>
      <c r="N57" s="147"/>
      <c r="O57" s="147"/>
      <c r="P57" s="147"/>
      <c r="Q57" s="148"/>
    </row>
    <row r="58" spans="1:17" ht="20.399999999999999" x14ac:dyDescent="0.2">
      <c r="A58" s="141"/>
      <c r="B58" s="141"/>
      <c r="C58" s="154"/>
      <c r="D58" s="159"/>
      <c r="E58" s="159" t="s">
        <v>140</v>
      </c>
      <c r="F58" s="147">
        <v>1</v>
      </c>
      <c r="G58" s="147"/>
      <c r="H58" s="156"/>
      <c r="I58" s="156"/>
      <c r="J58" s="147"/>
      <c r="K58" s="147">
        <v>105</v>
      </c>
      <c r="L58" s="157"/>
      <c r="M58" s="158"/>
      <c r="N58" s="147"/>
      <c r="O58" s="147"/>
      <c r="P58" s="147"/>
      <c r="Q58" s="148"/>
    </row>
    <row r="59" spans="1:17" x14ac:dyDescent="0.2">
      <c r="A59" s="141"/>
      <c r="B59" s="141"/>
      <c r="C59" s="154"/>
      <c r="D59" s="159"/>
      <c r="E59" s="147"/>
      <c r="F59" s="147"/>
      <c r="G59" s="147"/>
      <c r="H59" s="156"/>
      <c r="I59" s="156"/>
      <c r="J59" s="147"/>
      <c r="K59" s="147"/>
      <c r="L59" s="157"/>
      <c r="M59" s="158"/>
      <c r="N59" s="147"/>
      <c r="O59" s="147"/>
      <c r="P59" s="147"/>
      <c r="Q59" s="148"/>
    </row>
    <row r="60" spans="1:17" x14ac:dyDescent="0.2">
      <c r="A60" s="141"/>
      <c r="B60" s="141"/>
      <c r="C60" s="154"/>
      <c r="D60" s="159"/>
      <c r="E60" s="147" t="s">
        <v>18</v>
      </c>
      <c r="F60" s="147"/>
      <c r="G60" s="147"/>
      <c r="H60" s="156"/>
      <c r="I60" s="156"/>
      <c r="J60" s="30" t="s">
        <v>42</v>
      </c>
      <c r="K60" s="147">
        <f>ROUND(SUM(K57:K59),2)</f>
        <v>105</v>
      </c>
      <c r="L60" s="157">
        <v>16.510000000000002</v>
      </c>
      <c r="M60" s="158">
        <f>ROUND(PRODUCT(K60:L60),2)</f>
        <v>1733.55</v>
      </c>
      <c r="N60" s="147"/>
      <c r="O60" s="147">
        <v>0.59</v>
      </c>
      <c r="P60" s="147">
        <f>O60*K60</f>
        <v>61.949999999999996</v>
      </c>
      <c r="Q60" s="148"/>
    </row>
    <row r="61" spans="1:17" x14ac:dyDescent="0.2">
      <c r="A61" s="141"/>
      <c r="B61" s="141"/>
      <c r="C61" s="154"/>
      <c r="D61" s="159"/>
      <c r="E61" s="147"/>
      <c r="F61" s="147"/>
      <c r="G61" s="147"/>
      <c r="H61" s="156"/>
      <c r="I61" s="156"/>
      <c r="J61" s="30"/>
      <c r="K61" s="147"/>
      <c r="L61" s="157"/>
      <c r="M61" s="158"/>
      <c r="N61" s="147"/>
      <c r="O61" s="147"/>
      <c r="P61" s="147"/>
      <c r="Q61" s="148"/>
    </row>
    <row r="62" spans="1:17" ht="40.799999999999997" x14ac:dyDescent="0.2">
      <c r="A62" s="141"/>
      <c r="B62" s="141" t="s">
        <v>292</v>
      </c>
      <c r="C62" s="154">
        <v>2</v>
      </c>
      <c r="D62" s="159" t="s">
        <v>63</v>
      </c>
      <c r="E62" s="21" t="s">
        <v>64</v>
      </c>
      <c r="F62" s="147"/>
      <c r="G62" s="147"/>
      <c r="H62" s="156"/>
      <c r="I62" s="156"/>
      <c r="J62" s="160"/>
      <c r="K62" s="147"/>
      <c r="L62" s="157"/>
      <c r="M62" s="158"/>
      <c r="N62" s="147"/>
      <c r="O62" s="147"/>
      <c r="P62" s="147"/>
      <c r="Q62" s="148"/>
    </row>
    <row r="63" spans="1:17" x14ac:dyDescent="0.2">
      <c r="A63" s="141"/>
      <c r="B63" s="141"/>
      <c r="C63" s="154"/>
      <c r="D63" s="159"/>
      <c r="E63" s="159" t="s">
        <v>17</v>
      </c>
      <c r="F63" s="147"/>
      <c r="G63" s="147"/>
      <c r="H63" s="156"/>
      <c r="I63" s="156"/>
      <c r="J63" s="160"/>
      <c r="K63" s="147"/>
      <c r="L63" s="157"/>
      <c r="M63" s="158"/>
      <c r="N63" s="147"/>
      <c r="O63" s="147"/>
      <c r="P63" s="147"/>
      <c r="Q63" s="148"/>
    </row>
    <row r="64" spans="1:17" ht="20.399999999999999" x14ac:dyDescent="0.2">
      <c r="A64" s="141"/>
      <c r="B64" s="141"/>
      <c r="C64" s="154"/>
      <c r="D64" s="159"/>
      <c r="E64" s="159" t="s">
        <v>141</v>
      </c>
      <c r="F64" s="147">
        <v>1</v>
      </c>
      <c r="G64" s="147"/>
      <c r="H64" s="156"/>
      <c r="I64" s="156"/>
      <c r="J64" s="147"/>
      <c r="K64" s="147">
        <v>105</v>
      </c>
      <c r="L64" s="157"/>
      <c r="M64" s="158"/>
      <c r="N64" s="147"/>
      <c r="O64" s="147"/>
      <c r="P64" s="147"/>
      <c r="Q64" s="148"/>
    </row>
    <row r="65" spans="1:17" x14ac:dyDescent="0.2">
      <c r="A65" s="141"/>
      <c r="B65" s="141"/>
      <c r="C65" s="154"/>
      <c r="D65" s="159"/>
      <c r="E65" s="147"/>
      <c r="F65" s="147"/>
      <c r="G65" s="147"/>
      <c r="H65" s="156"/>
      <c r="I65" s="156"/>
      <c r="J65" s="160"/>
      <c r="K65" s="147">
        <f>ROUND(PRODUCT(F65:I65),2)</f>
        <v>0</v>
      </c>
      <c r="L65" s="157"/>
      <c r="M65" s="158"/>
      <c r="N65" s="147"/>
      <c r="O65" s="147"/>
      <c r="P65" s="147"/>
      <c r="Q65" s="148"/>
    </row>
    <row r="66" spans="1:17" x14ac:dyDescent="0.2">
      <c r="A66" s="141"/>
      <c r="B66" s="141"/>
      <c r="C66" s="154"/>
      <c r="D66" s="159"/>
      <c r="E66" s="294" t="s">
        <v>18</v>
      </c>
      <c r="F66" s="147"/>
      <c r="G66" s="147"/>
      <c r="H66" s="156"/>
      <c r="I66" s="156"/>
      <c r="J66" s="161" t="s">
        <v>42</v>
      </c>
      <c r="K66" s="147">
        <f>ROUND(SUM(K63:K65),2)</f>
        <v>105</v>
      </c>
      <c r="L66" s="157">
        <v>2.65</v>
      </c>
      <c r="M66" s="158">
        <f>ROUND(PRODUCT(K66:L66),2)</f>
        <v>278.25</v>
      </c>
      <c r="N66" s="147"/>
      <c r="O66" s="147">
        <v>0.09</v>
      </c>
      <c r="P66" s="147">
        <f>O66*K66</f>
        <v>9.4499999999999993</v>
      </c>
      <c r="Q66" s="148"/>
    </row>
    <row r="67" spans="1:17" s="49" customFormat="1" x14ac:dyDescent="0.2">
      <c r="A67" s="141"/>
      <c r="B67" s="141"/>
      <c r="C67" s="162"/>
      <c r="D67" s="61"/>
      <c r="E67" s="159"/>
      <c r="F67" s="132"/>
      <c r="G67" s="120"/>
      <c r="H67" s="120"/>
      <c r="I67" s="120"/>
      <c r="J67" s="22"/>
      <c r="K67" s="79"/>
      <c r="L67" s="51"/>
      <c r="M67" s="79"/>
      <c r="N67" s="79"/>
      <c r="O67" s="22"/>
      <c r="P67" s="30"/>
      <c r="Q67" s="47"/>
    </row>
    <row r="68" spans="1:17" s="49" customFormat="1" ht="40.799999999999997" x14ac:dyDescent="0.2">
      <c r="A68" s="141"/>
      <c r="B68" s="141" t="s">
        <v>291</v>
      </c>
      <c r="C68" s="162"/>
      <c r="D68" s="61" t="s">
        <v>65</v>
      </c>
      <c r="E68" s="159" t="s">
        <v>66</v>
      </c>
      <c r="F68" s="132"/>
      <c r="G68" s="120"/>
      <c r="H68" s="120"/>
      <c r="I68" s="120"/>
      <c r="J68" s="22"/>
      <c r="K68" s="79"/>
      <c r="L68" s="51"/>
      <c r="M68" s="79"/>
      <c r="N68" s="79"/>
      <c r="O68" s="22"/>
      <c r="P68" s="30"/>
      <c r="Q68" s="47"/>
    </row>
    <row r="69" spans="1:17" s="49" customFormat="1" x14ac:dyDescent="0.2">
      <c r="A69" s="141"/>
      <c r="B69" s="141"/>
      <c r="C69" s="30"/>
      <c r="D69" s="61"/>
      <c r="E69" s="163" t="s">
        <v>67</v>
      </c>
      <c r="F69" s="132">
        <v>1</v>
      </c>
      <c r="G69" s="120">
        <v>12.5</v>
      </c>
      <c r="H69" s="120">
        <v>8</v>
      </c>
      <c r="I69" s="120">
        <v>3.5</v>
      </c>
      <c r="J69" s="164"/>
      <c r="K69" s="79">
        <f>ROUND(PRODUCT(F69:I69),2)</f>
        <v>350</v>
      </c>
      <c r="L69" s="22"/>
      <c r="M69" s="79"/>
      <c r="N69" s="79"/>
      <c r="O69" s="22"/>
      <c r="P69" s="22"/>
      <c r="Q69" s="47"/>
    </row>
    <row r="70" spans="1:17" s="49" customFormat="1" x14ac:dyDescent="0.2">
      <c r="A70" s="141"/>
      <c r="B70" s="141"/>
      <c r="C70" s="162"/>
      <c r="D70" s="61"/>
      <c r="E70" s="163"/>
      <c r="F70" s="132"/>
      <c r="G70" s="120"/>
      <c r="H70" s="120"/>
      <c r="I70" s="120"/>
      <c r="J70" s="22"/>
      <c r="K70" s="79"/>
      <c r="L70" s="51"/>
      <c r="M70" s="79"/>
      <c r="N70" s="79"/>
      <c r="O70" s="22"/>
      <c r="P70" s="30"/>
      <c r="Q70" s="47"/>
    </row>
    <row r="71" spans="1:17" s="49" customFormat="1" x14ac:dyDescent="0.2">
      <c r="A71" s="141"/>
      <c r="B71" s="141"/>
      <c r="C71" s="30"/>
      <c r="D71" s="61"/>
      <c r="E71" s="22" t="s">
        <v>18</v>
      </c>
      <c r="F71" s="132"/>
      <c r="G71" s="120"/>
      <c r="H71" s="120"/>
      <c r="I71" s="120"/>
      <c r="J71" s="164" t="s">
        <v>42</v>
      </c>
      <c r="K71" s="79">
        <f>ROUND(SUM(K68:K70),2)</f>
        <v>350</v>
      </c>
      <c r="L71" s="51">
        <v>13.17</v>
      </c>
      <c r="M71" s="79">
        <f>ROUND(PRODUCT(K71:L71),2)</f>
        <v>4609.5</v>
      </c>
      <c r="N71" s="79"/>
      <c r="O71" s="22">
        <v>0.42</v>
      </c>
      <c r="P71" s="22">
        <f>O71*K71</f>
        <v>147</v>
      </c>
      <c r="Q71" s="47"/>
    </row>
    <row r="72" spans="1:17" s="49" customFormat="1" x14ac:dyDescent="0.2">
      <c r="A72" s="141"/>
      <c r="B72" s="141"/>
      <c r="C72" s="30"/>
      <c r="D72" s="61"/>
      <c r="E72" s="22"/>
      <c r="F72" s="132"/>
      <c r="G72" s="120"/>
      <c r="H72" s="120"/>
      <c r="I72" s="120"/>
      <c r="J72" s="164"/>
      <c r="K72" s="79"/>
      <c r="L72" s="51"/>
      <c r="M72" s="79"/>
      <c r="N72" s="79"/>
      <c r="O72" s="22"/>
      <c r="P72" s="22"/>
      <c r="Q72" s="47"/>
    </row>
    <row r="73" spans="1:17" x14ac:dyDescent="0.2">
      <c r="A73" s="141"/>
      <c r="B73" s="141"/>
      <c r="C73" s="142"/>
      <c r="D73" s="149"/>
      <c r="E73" s="143"/>
      <c r="F73" s="143"/>
      <c r="G73" s="143"/>
      <c r="H73" s="144"/>
      <c r="I73" s="144"/>
      <c r="J73" s="152"/>
      <c r="K73" s="145"/>
      <c r="L73" s="151"/>
      <c r="M73" s="143"/>
      <c r="N73" s="146"/>
      <c r="O73" s="22"/>
      <c r="P73" s="147"/>
      <c r="Q73" s="148"/>
    </row>
    <row r="74" spans="1:17" s="49" customFormat="1" ht="26.4" x14ac:dyDescent="0.2">
      <c r="A74" s="141"/>
      <c r="B74" s="297" t="s">
        <v>306</v>
      </c>
      <c r="C74" s="65"/>
      <c r="D74" s="66"/>
      <c r="E74" s="28" t="str">
        <f>CONCATENATE("Totale fase ",E54)</f>
        <v>Totale fase ADEGUAMENTO SCAVI E RINTERRI PERIMETRALI PER IMPIANTI</v>
      </c>
      <c r="F74" s="134"/>
      <c r="G74" s="118"/>
      <c r="H74" s="118"/>
      <c r="I74" s="118"/>
      <c r="J74" s="67"/>
      <c r="K74" s="81"/>
      <c r="L74" s="68"/>
      <c r="M74" s="92"/>
      <c r="N74" s="99">
        <f>SUM(M55:M73)</f>
        <v>6621.3</v>
      </c>
      <c r="O74" s="69"/>
      <c r="P74" s="70"/>
      <c r="Q74" s="71">
        <f>SUM(P55:P73)</f>
        <v>218.39999999999998</v>
      </c>
    </row>
    <row r="75" spans="1:17" ht="17.399999999999999" customHeight="1" x14ac:dyDescent="0.2">
      <c r="B75" s="334"/>
      <c r="C75" s="335"/>
      <c r="D75" s="335"/>
      <c r="E75" s="335"/>
      <c r="F75" s="335"/>
      <c r="G75" s="335"/>
      <c r="H75" s="335"/>
      <c r="I75" s="335"/>
      <c r="J75" s="335"/>
      <c r="K75" s="335"/>
      <c r="L75" s="335"/>
      <c r="M75" s="335"/>
      <c r="N75" s="335"/>
      <c r="O75" s="335"/>
      <c r="P75" s="335"/>
      <c r="Q75" s="336"/>
    </row>
    <row r="76" spans="1:17" s="49" customFormat="1" ht="26.4" x14ac:dyDescent="0.2">
      <c r="B76" s="141"/>
      <c r="C76" s="27" t="s">
        <v>41</v>
      </c>
      <c r="D76" s="317" t="s">
        <v>367</v>
      </c>
      <c r="E76" s="318" t="s">
        <v>368</v>
      </c>
      <c r="F76" s="134"/>
      <c r="G76" s="118"/>
      <c r="H76" s="118"/>
      <c r="I76" s="118"/>
      <c r="J76" s="67"/>
      <c r="K76" s="81"/>
      <c r="L76" s="68"/>
      <c r="M76" s="92"/>
      <c r="N76" s="100"/>
      <c r="O76" s="72"/>
      <c r="P76" s="72">
        <f>J76*N76</f>
        <v>0</v>
      </c>
      <c r="Q76" s="73"/>
    </row>
    <row r="77" spans="1:17" s="49" customFormat="1" x14ac:dyDescent="0.2">
      <c r="B77" s="141"/>
      <c r="C77" s="50"/>
      <c r="D77" s="62"/>
      <c r="E77" s="63"/>
      <c r="F77" s="133"/>
      <c r="G77" s="121"/>
      <c r="H77" s="121"/>
      <c r="I77" s="121"/>
      <c r="J77" s="31"/>
      <c r="K77" s="78"/>
      <c r="L77" s="48"/>
      <c r="M77" s="91"/>
      <c r="N77" s="79"/>
      <c r="O77" s="22"/>
      <c r="P77" s="30"/>
      <c r="Q77" s="47"/>
    </row>
    <row r="78" spans="1:17" ht="61.2" x14ac:dyDescent="0.2">
      <c r="B78" s="141" t="s">
        <v>301</v>
      </c>
      <c r="C78" s="154">
        <v>1</v>
      </c>
      <c r="D78" s="21" t="s">
        <v>298</v>
      </c>
      <c r="E78" s="21" t="s">
        <v>299</v>
      </c>
      <c r="F78" s="147"/>
      <c r="G78" s="147"/>
      <c r="H78" s="156"/>
      <c r="I78" s="156"/>
      <c r="J78" s="147"/>
      <c r="K78" s="147"/>
      <c r="L78" s="157"/>
      <c r="M78" s="158"/>
      <c r="N78" s="147"/>
      <c r="O78" s="147"/>
      <c r="P78" s="147"/>
      <c r="Q78" s="148"/>
    </row>
    <row r="79" spans="1:17" x14ac:dyDescent="0.2">
      <c r="B79" s="141"/>
      <c r="C79" s="154"/>
      <c r="D79" s="159"/>
      <c r="E79" s="159" t="s">
        <v>17</v>
      </c>
      <c r="F79" s="147"/>
      <c r="G79" s="147"/>
      <c r="H79" s="156"/>
      <c r="I79" s="156"/>
      <c r="J79" s="147"/>
      <c r="K79" s="147"/>
      <c r="L79" s="157"/>
      <c r="M79" s="158"/>
      <c r="N79" s="147"/>
      <c r="O79" s="147"/>
      <c r="P79" s="147"/>
      <c r="Q79" s="148"/>
    </row>
    <row r="80" spans="1:17" ht="20.399999999999999" x14ac:dyDescent="0.2">
      <c r="B80" s="141"/>
      <c r="C80" s="154"/>
      <c r="D80" s="159"/>
      <c r="E80" s="21" t="s">
        <v>341</v>
      </c>
      <c r="F80" s="147"/>
      <c r="G80" s="147"/>
      <c r="H80" s="156"/>
      <c r="I80" s="156">
        <v>65.900000000000006</v>
      </c>
      <c r="J80" s="147"/>
      <c r="K80" s="79">
        <f>ROUND(SUM(K77:K79),2)</f>
        <v>0</v>
      </c>
      <c r="L80" s="157"/>
      <c r="M80" s="158"/>
      <c r="N80" s="147"/>
      <c r="O80" s="147"/>
      <c r="P80" s="147"/>
      <c r="Q80" s="148"/>
    </row>
    <row r="81" spans="2:17" ht="20.399999999999999" x14ac:dyDescent="0.2">
      <c r="B81" s="141"/>
      <c r="C81" s="154"/>
      <c r="D81" s="159"/>
      <c r="E81" s="21" t="s">
        <v>300</v>
      </c>
      <c r="F81" s="147"/>
      <c r="G81" s="147"/>
      <c r="H81" s="156"/>
      <c r="I81" s="156">
        <v>85</v>
      </c>
      <c r="J81" s="147"/>
      <c r="K81" s="147"/>
      <c r="L81" s="157"/>
      <c r="M81" s="158"/>
      <c r="N81" s="147"/>
      <c r="O81" s="147"/>
      <c r="P81" s="147"/>
      <c r="Q81" s="148"/>
    </row>
    <row r="82" spans="2:17" x14ac:dyDescent="0.2">
      <c r="B82" s="141"/>
      <c r="C82" s="154"/>
      <c r="D82" s="159"/>
      <c r="E82" s="147" t="s">
        <v>18</v>
      </c>
      <c r="F82" s="147"/>
      <c r="G82" s="147"/>
      <c r="H82" s="156"/>
      <c r="I82" s="156"/>
      <c r="J82" s="30" t="s">
        <v>42</v>
      </c>
      <c r="K82" s="147">
        <f>ROUND(SUM(F80:I81),2)</f>
        <v>150.9</v>
      </c>
      <c r="L82" s="157">
        <v>48.03</v>
      </c>
      <c r="M82" s="264">
        <f>ROUND(PRODUCT(K82:L82),2)</f>
        <v>7247.73</v>
      </c>
      <c r="N82" s="147"/>
      <c r="O82" s="147">
        <v>1.92</v>
      </c>
      <c r="P82" s="147">
        <f>O82*K82</f>
        <v>289.72800000000001</v>
      </c>
      <c r="Q82" s="148"/>
    </row>
    <row r="83" spans="2:17" x14ac:dyDescent="0.2">
      <c r="B83" s="141"/>
      <c r="C83" s="154"/>
      <c r="D83" s="159"/>
      <c r="E83" s="147"/>
      <c r="F83" s="147"/>
      <c r="G83" s="147"/>
      <c r="H83" s="156"/>
      <c r="I83" s="156"/>
      <c r="J83" s="30"/>
      <c r="K83" s="147"/>
      <c r="L83" s="157"/>
      <c r="M83" s="158"/>
      <c r="N83" s="147"/>
      <c r="O83" s="147"/>
      <c r="P83" s="147"/>
      <c r="Q83" s="148"/>
    </row>
    <row r="84" spans="2:17" ht="173.4" x14ac:dyDescent="0.2">
      <c r="B84" s="141" t="s">
        <v>302</v>
      </c>
      <c r="C84" s="154">
        <v>2</v>
      </c>
      <c r="D84" s="21" t="s">
        <v>296</v>
      </c>
      <c r="E84" s="21" t="s">
        <v>311</v>
      </c>
      <c r="F84" s="147"/>
      <c r="G84" s="147"/>
      <c r="H84" s="156"/>
      <c r="I84" s="156"/>
      <c r="J84" s="160"/>
      <c r="K84" s="147"/>
      <c r="L84" s="157"/>
      <c r="M84" s="158"/>
      <c r="N84" s="147"/>
      <c r="O84" s="147"/>
      <c r="P84" s="147"/>
      <c r="Q84" s="148"/>
    </row>
    <row r="85" spans="2:17" x14ac:dyDescent="0.2">
      <c r="B85" s="141"/>
      <c r="C85" s="154"/>
      <c r="D85" s="159"/>
      <c r="E85" s="159" t="s">
        <v>17</v>
      </c>
      <c r="F85" s="147"/>
      <c r="G85" s="147"/>
      <c r="H85" s="156"/>
      <c r="I85" s="156"/>
      <c r="J85" s="160"/>
      <c r="K85" s="147"/>
      <c r="L85" s="157"/>
      <c r="M85" s="158"/>
      <c r="N85" s="147"/>
      <c r="O85" s="147"/>
      <c r="P85" s="147"/>
      <c r="Q85" s="148"/>
    </row>
    <row r="86" spans="2:17" x14ac:dyDescent="0.2">
      <c r="B86" s="141"/>
      <c r="C86" s="154"/>
      <c r="D86" s="159"/>
      <c r="E86" s="294" t="s">
        <v>297</v>
      </c>
      <c r="F86" s="147">
        <v>2</v>
      </c>
      <c r="G86" s="147"/>
      <c r="H86" s="156"/>
      <c r="I86" s="156"/>
      <c r="J86" s="147"/>
      <c r="K86" s="79">
        <f>ROUND(SUM(K83:K85),2)</f>
        <v>0</v>
      </c>
      <c r="L86" s="157"/>
      <c r="M86" s="158"/>
      <c r="N86" s="147"/>
      <c r="O86" s="147"/>
      <c r="P86" s="147"/>
      <c r="Q86" s="148"/>
    </row>
    <row r="87" spans="2:17" x14ac:dyDescent="0.2">
      <c r="B87" s="141"/>
      <c r="C87" s="154"/>
      <c r="D87" s="159"/>
      <c r="E87" s="147"/>
      <c r="F87" s="147"/>
      <c r="G87" s="147"/>
      <c r="H87" s="156"/>
      <c r="I87" s="156"/>
      <c r="J87" s="160"/>
      <c r="K87" s="147">
        <f>ROUND(PRODUCT(F86:I86),2)</f>
        <v>2</v>
      </c>
      <c r="L87" s="157"/>
      <c r="M87" s="158"/>
      <c r="N87" s="147"/>
      <c r="O87" s="147"/>
      <c r="P87" s="147"/>
      <c r="Q87" s="148"/>
    </row>
    <row r="88" spans="2:17" x14ac:dyDescent="0.2">
      <c r="B88" s="141"/>
      <c r="C88" s="154"/>
      <c r="D88" s="159"/>
      <c r="E88" s="147" t="s">
        <v>18</v>
      </c>
      <c r="F88" s="147"/>
      <c r="G88" s="147"/>
      <c r="H88" s="156"/>
      <c r="I88" s="156"/>
      <c r="J88" s="161" t="s">
        <v>42</v>
      </c>
      <c r="K88" s="147">
        <f>ROUND(SUM(K85:K87),2)</f>
        <v>2</v>
      </c>
      <c r="L88" s="157">
        <v>4298.59</v>
      </c>
      <c r="M88" s="79">
        <f>ROUND(PRODUCT(K88:L88),2)</f>
        <v>8597.18</v>
      </c>
      <c r="N88" s="147"/>
      <c r="O88" s="314">
        <v>171.94</v>
      </c>
      <c r="P88" s="147">
        <f>O88*K88</f>
        <v>343.88</v>
      </c>
      <c r="Q88" s="148"/>
    </row>
    <row r="89" spans="2:17" x14ac:dyDescent="0.2">
      <c r="B89" s="141"/>
      <c r="C89" s="154"/>
      <c r="D89" s="159"/>
      <c r="E89" s="147"/>
      <c r="F89" s="147"/>
      <c r="G89" s="147"/>
      <c r="H89" s="156"/>
      <c r="I89" s="156"/>
      <c r="J89" s="161"/>
      <c r="K89" s="147"/>
      <c r="L89" s="157"/>
      <c r="M89" s="79"/>
      <c r="N89" s="147"/>
      <c r="O89" s="147"/>
      <c r="P89" s="147"/>
      <c r="Q89" s="148"/>
    </row>
    <row r="90" spans="2:17" ht="71.400000000000006" x14ac:dyDescent="0.2">
      <c r="B90" s="141" t="s">
        <v>354</v>
      </c>
      <c r="C90" s="154">
        <v>1</v>
      </c>
      <c r="D90" s="311" t="s">
        <v>355</v>
      </c>
      <c r="E90" s="21" t="s">
        <v>356</v>
      </c>
      <c r="F90" s="147"/>
      <c r="G90" s="147"/>
      <c r="H90" s="156"/>
      <c r="I90" s="156"/>
      <c r="J90" s="147"/>
      <c r="K90" s="147"/>
      <c r="L90" s="157"/>
      <c r="M90" s="158"/>
      <c r="N90" s="147"/>
      <c r="O90" s="147"/>
      <c r="P90" s="147"/>
      <c r="Q90" s="148"/>
    </row>
    <row r="91" spans="2:17" x14ac:dyDescent="0.2">
      <c r="B91" s="141"/>
      <c r="C91" s="154"/>
      <c r="D91" s="159"/>
      <c r="E91" s="159" t="s">
        <v>17</v>
      </c>
      <c r="F91" s="147"/>
      <c r="G91" s="147"/>
      <c r="H91" s="156"/>
      <c r="I91" s="156"/>
      <c r="J91" s="147"/>
      <c r="K91" s="147"/>
      <c r="L91" s="157"/>
      <c r="M91" s="158"/>
      <c r="N91" s="147"/>
      <c r="O91" s="147"/>
      <c r="P91" s="147"/>
      <c r="Q91" s="148"/>
    </row>
    <row r="92" spans="2:17" x14ac:dyDescent="0.2">
      <c r="B92" s="141"/>
      <c r="C92" s="154"/>
      <c r="D92" s="159"/>
      <c r="E92" s="21"/>
      <c r="F92" s="147"/>
      <c r="G92" s="147"/>
      <c r="H92" s="156"/>
      <c r="I92" s="156"/>
      <c r="J92" s="147"/>
      <c r="K92" s="79"/>
      <c r="L92" s="157"/>
      <c r="M92" s="158"/>
      <c r="N92" s="147"/>
      <c r="O92" s="147"/>
      <c r="P92" s="147"/>
      <c r="Q92" s="148"/>
    </row>
    <row r="93" spans="2:17" x14ac:dyDescent="0.2">
      <c r="B93" s="141"/>
      <c r="C93" s="154"/>
      <c r="D93" s="159"/>
      <c r="E93" s="30" t="s">
        <v>366</v>
      </c>
      <c r="F93" s="147"/>
      <c r="G93" s="147"/>
      <c r="H93" s="156"/>
      <c r="I93" s="156"/>
      <c r="J93" s="313" t="s">
        <v>23</v>
      </c>
      <c r="K93" s="147">
        <v>1</v>
      </c>
      <c r="L93" s="157">
        <v>0</v>
      </c>
      <c r="M93" s="264">
        <f>ROUND(PRODUCT(K93:L93),2)</f>
        <v>0</v>
      </c>
      <c r="N93" s="147"/>
      <c r="O93" s="314">
        <v>7500</v>
      </c>
      <c r="P93" s="314">
        <f>O93*K93</f>
        <v>7500</v>
      </c>
      <c r="Q93" s="148"/>
    </row>
    <row r="94" spans="2:17" x14ac:dyDescent="0.2">
      <c r="B94" s="141"/>
      <c r="C94" s="310"/>
      <c r="D94" s="159"/>
      <c r="E94" s="147"/>
      <c r="F94" s="147"/>
      <c r="G94" s="147"/>
      <c r="H94" s="156"/>
      <c r="I94" s="156"/>
      <c r="J94" s="30"/>
      <c r="K94" s="147"/>
      <c r="L94" s="157"/>
      <c r="M94" s="264"/>
      <c r="N94" s="147"/>
      <c r="O94" s="147"/>
      <c r="P94" s="147"/>
      <c r="Q94" s="148"/>
    </row>
    <row r="95" spans="2:17" ht="40.799999999999997" x14ac:dyDescent="0.2">
      <c r="B95" s="141" t="s">
        <v>359</v>
      </c>
      <c r="C95" s="154">
        <v>1</v>
      </c>
      <c r="D95" s="311" t="s">
        <v>355</v>
      </c>
      <c r="E95" s="21" t="s">
        <v>365</v>
      </c>
      <c r="F95" s="147"/>
      <c r="G95" s="147"/>
      <c r="H95" s="156"/>
      <c r="I95" s="156"/>
      <c r="J95" s="147"/>
      <c r="K95" s="147"/>
      <c r="L95" s="157"/>
      <c r="M95" s="158"/>
      <c r="N95" s="147"/>
      <c r="O95" s="147"/>
      <c r="P95" s="147"/>
      <c r="Q95" s="148"/>
    </row>
    <row r="96" spans="2:17" x14ac:dyDescent="0.2">
      <c r="B96" s="141"/>
      <c r="C96" s="154"/>
      <c r="D96" s="159"/>
      <c r="E96" s="159" t="s">
        <v>17</v>
      </c>
      <c r="F96" s="147"/>
      <c r="G96" s="147"/>
      <c r="H96" s="156"/>
      <c r="I96" s="156"/>
      <c r="J96" s="147"/>
      <c r="K96" s="147"/>
      <c r="L96" s="157"/>
      <c r="M96" s="158"/>
      <c r="N96" s="147"/>
      <c r="O96" s="147"/>
      <c r="P96" s="147"/>
      <c r="Q96" s="148"/>
    </row>
    <row r="97" spans="2:17" x14ac:dyDescent="0.2">
      <c r="B97" s="141"/>
      <c r="C97" s="154"/>
      <c r="D97" s="159"/>
      <c r="E97" s="21"/>
      <c r="F97" s="147"/>
      <c r="G97" s="147"/>
      <c r="H97" s="156"/>
      <c r="I97" s="156"/>
      <c r="J97" s="147"/>
      <c r="K97" s="79"/>
      <c r="L97" s="157"/>
      <c r="M97" s="158"/>
      <c r="N97" s="147"/>
      <c r="O97" s="147"/>
      <c r="P97" s="147"/>
      <c r="Q97" s="148"/>
    </row>
    <row r="98" spans="2:17" x14ac:dyDescent="0.2">
      <c r="B98" s="141"/>
      <c r="C98" s="154"/>
      <c r="D98" s="159"/>
      <c r="E98" s="30" t="s">
        <v>366</v>
      </c>
      <c r="F98" s="147"/>
      <c r="G98" s="147"/>
      <c r="H98" s="156"/>
      <c r="I98" s="156"/>
      <c r="J98" s="313" t="s">
        <v>23</v>
      </c>
      <c r="K98" s="147">
        <v>1</v>
      </c>
      <c r="L98" s="157">
        <v>0</v>
      </c>
      <c r="M98" s="264">
        <f>ROUND(PRODUCT(K98:L98),2)</f>
        <v>0</v>
      </c>
      <c r="N98" s="147"/>
      <c r="O98" s="314">
        <v>2000</v>
      </c>
      <c r="P98" s="314">
        <f>O98*K98</f>
        <v>2000</v>
      </c>
      <c r="Q98" s="148"/>
    </row>
    <row r="99" spans="2:17" x14ac:dyDescent="0.2">
      <c r="B99" s="141"/>
      <c r="C99" s="310"/>
      <c r="D99" s="159"/>
      <c r="E99" s="147"/>
      <c r="F99" s="147"/>
      <c r="G99" s="147"/>
      <c r="H99" s="156"/>
      <c r="I99" s="156"/>
      <c r="J99" s="30"/>
      <c r="K99" s="147"/>
      <c r="L99" s="157"/>
      <c r="M99" s="264"/>
      <c r="N99" s="147"/>
      <c r="O99" s="147"/>
      <c r="P99" s="147"/>
      <c r="Q99" s="148"/>
    </row>
    <row r="100" spans="2:17" ht="40.799999999999997" x14ac:dyDescent="0.2">
      <c r="B100" s="141" t="s">
        <v>363</v>
      </c>
      <c r="C100" s="310"/>
      <c r="D100" s="159" t="s">
        <v>357</v>
      </c>
      <c r="E100" s="312" t="s">
        <v>384</v>
      </c>
      <c r="F100" s="147"/>
      <c r="G100" s="147"/>
      <c r="H100" s="156"/>
      <c r="I100" s="156"/>
      <c r="J100" s="30"/>
      <c r="K100" s="147"/>
      <c r="L100" s="157"/>
      <c r="M100" s="264"/>
      <c r="N100" s="147"/>
      <c r="O100" s="147"/>
      <c r="P100" s="147">
        <v>0</v>
      </c>
      <c r="Q100" s="148"/>
    </row>
    <row r="101" spans="2:17" x14ac:dyDescent="0.2">
      <c r="B101" s="141"/>
      <c r="C101" s="310"/>
      <c r="D101" s="159"/>
      <c r="E101" s="312" t="s">
        <v>17</v>
      </c>
      <c r="F101" s="147"/>
      <c r="G101" s="147"/>
      <c r="H101" s="156"/>
      <c r="I101" s="156"/>
      <c r="J101" s="30"/>
      <c r="K101" s="147"/>
      <c r="L101" s="157"/>
      <c r="M101" s="264"/>
      <c r="N101" s="147"/>
      <c r="O101" s="147"/>
      <c r="P101" s="147">
        <v>0</v>
      </c>
      <c r="Q101" s="148"/>
    </row>
    <row r="102" spans="2:17" x14ac:dyDescent="0.2">
      <c r="B102" s="141"/>
      <c r="C102" s="310"/>
      <c r="D102" s="159"/>
      <c r="E102" s="147" t="s">
        <v>82</v>
      </c>
      <c r="F102" s="147"/>
      <c r="G102" s="147"/>
      <c r="H102" s="156"/>
      <c r="I102" s="156">
        <v>32.19</v>
      </c>
      <c r="J102" s="30"/>
      <c r="K102" s="93">
        <f>ROUND(PRODUCT(F102:I102),2)</f>
        <v>32.19</v>
      </c>
      <c r="L102" s="157"/>
      <c r="M102" s="264"/>
      <c r="N102" s="147"/>
      <c r="O102" s="147"/>
      <c r="P102" s="147">
        <v>0</v>
      </c>
      <c r="Q102" s="148"/>
    </row>
    <row r="103" spans="2:17" x14ac:dyDescent="0.2">
      <c r="B103" s="141"/>
      <c r="C103" s="310"/>
      <c r="D103" s="159"/>
      <c r="E103" s="147"/>
      <c r="F103" s="147"/>
      <c r="G103" s="147"/>
      <c r="H103" s="156"/>
      <c r="I103" s="156"/>
      <c r="J103" s="30"/>
      <c r="K103" s="147"/>
      <c r="L103" s="157"/>
      <c r="M103" s="264"/>
      <c r="N103" s="147"/>
      <c r="O103" s="147"/>
      <c r="P103" s="147">
        <v>0</v>
      </c>
      <c r="Q103" s="148"/>
    </row>
    <row r="104" spans="2:17" x14ac:dyDescent="0.2">
      <c r="B104" s="141"/>
      <c r="C104" s="310"/>
      <c r="D104" s="159"/>
      <c r="E104" s="147" t="s">
        <v>57</v>
      </c>
      <c r="F104" s="147"/>
      <c r="G104" s="147"/>
      <c r="H104" s="156"/>
      <c r="I104" s="156"/>
      <c r="J104" s="30" t="s">
        <v>358</v>
      </c>
      <c r="K104" s="147">
        <f>ROUND(SUM(F102:I103),2)</f>
        <v>32.19</v>
      </c>
      <c r="L104" s="157">
        <v>53.96</v>
      </c>
      <c r="M104" s="264">
        <f>ROUND(PRODUCT(K104:L104),2)</f>
        <v>1736.97</v>
      </c>
      <c r="N104" s="147"/>
      <c r="O104" s="147">
        <v>2.1583999999999999</v>
      </c>
      <c r="P104" s="147">
        <f>O104*K104</f>
        <v>69.478895999999992</v>
      </c>
      <c r="Q104" s="148"/>
    </row>
    <row r="105" spans="2:17" x14ac:dyDescent="0.2">
      <c r="B105" s="141"/>
      <c r="C105" s="310"/>
      <c r="D105" s="159"/>
      <c r="E105" s="147"/>
      <c r="F105" s="147"/>
      <c r="G105" s="147"/>
      <c r="H105" s="156"/>
      <c r="I105" s="156"/>
      <c r="J105" s="30"/>
      <c r="K105" s="147"/>
      <c r="L105" s="157"/>
      <c r="M105" s="264"/>
      <c r="N105" s="147"/>
      <c r="O105" s="147"/>
      <c r="P105" s="147"/>
      <c r="Q105" s="148"/>
    </row>
    <row r="106" spans="2:17" ht="71.400000000000006" x14ac:dyDescent="0.2">
      <c r="B106" s="141" t="s">
        <v>364</v>
      </c>
      <c r="C106" s="310"/>
      <c r="D106" s="159" t="s">
        <v>360</v>
      </c>
      <c r="E106" s="312" t="s">
        <v>361</v>
      </c>
      <c r="F106" s="147"/>
      <c r="G106" s="147"/>
      <c r="H106" s="156"/>
      <c r="I106" s="156"/>
      <c r="J106" s="30"/>
      <c r="K106" s="147"/>
      <c r="L106" s="157"/>
      <c r="M106" s="264"/>
      <c r="N106" s="147"/>
      <c r="O106" s="147"/>
      <c r="P106" s="147">
        <v>0</v>
      </c>
      <c r="Q106" s="148"/>
    </row>
    <row r="107" spans="2:17" x14ac:dyDescent="0.2">
      <c r="B107" s="141"/>
      <c r="C107" s="310"/>
      <c r="D107" s="159"/>
      <c r="E107" s="147" t="s">
        <v>17</v>
      </c>
      <c r="F107" s="147"/>
      <c r="G107" s="147"/>
      <c r="H107" s="156"/>
      <c r="I107" s="156"/>
      <c r="J107" s="30"/>
      <c r="K107" s="147"/>
      <c r="L107" s="157"/>
      <c r="M107" s="264"/>
      <c r="N107" s="147"/>
      <c r="O107" s="147"/>
      <c r="P107" s="147">
        <v>0</v>
      </c>
      <c r="Q107" s="148"/>
    </row>
    <row r="108" spans="2:17" x14ac:dyDescent="0.2">
      <c r="B108" s="141"/>
      <c r="C108" s="310"/>
      <c r="D108" s="159"/>
      <c r="E108" s="147" t="s">
        <v>362</v>
      </c>
      <c r="F108" s="147">
        <v>1</v>
      </c>
      <c r="G108" s="147">
        <v>0.9</v>
      </c>
      <c r="H108" s="156"/>
      <c r="I108" s="156">
        <v>2.1</v>
      </c>
      <c r="J108" s="30"/>
      <c r="K108" s="93">
        <f>ROUND(PRODUCT(F108:I108),2)</f>
        <v>1.89</v>
      </c>
      <c r="L108" s="157"/>
      <c r="M108" s="264"/>
      <c r="N108" s="147"/>
      <c r="O108" s="147"/>
      <c r="P108" s="147">
        <v>0</v>
      </c>
      <c r="Q108" s="148"/>
    </row>
    <row r="109" spans="2:17" x14ac:dyDescent="0.2">
      <c r="B109" s="141"/>
      <c r="C109" s="310"/>
      <c r="D109" s="159"/>
      <c r="E109" s="147"/>
      <c r="F109" s="147"/>
      <c r="G109" s="147"/>
      <c r="H109" s="156"/>
      <c r="I109" s="156"/>
      <c r="J109" s="30"/>
      <c r="K109" s="147"/>
      <c r="L109" s="157"/>
      <c r="M109" s="264"/>
      <c r="N109" s="147"/>
      <c r="O109" s="147"/>
      <c r="P109" s="147">
        <v>0</v>
      </c>
      <c r="Q109" s="148"/>
    </row>
    <row r="110" spans="2:17" x14ac:dyDescent="0.2">
      <c r="B110" s="141"/>
      <c r="C110" s="310"/>
      <c r="D110" s="159"/>
      <c r="E110" s="147" t="s">
        <v>57</v>
      </c>
      <c r="F110" s="147"/>
      <c r="G110" s="147"/>
      <c r="H110" s="156"/>
      <c r="I110" s="156"/>
      <c r="J110" s="161" t="s">
        <v>358</v>
      </c>
      <c r="K110" s="147">
        <f>SUM(K108:K109)</f>
        <v>1.89</v>
      </c>
      <c r="L110" s="157">
        <v>251.92</v>
      </c>
      <c r="M110" s="264">
        <f>ROUND(PRODUCT(K110:L110),2)</f>
        <v>476.13</v>
      </c>
      <c r="N110" s="147"/>
      <c r="O110" s="147">
        <v>3.64</v>
      </c>
      <c r="P110" s="147">
        <f>O110*K110</f>
        <v>6.8795999999999999</v>
      </c>
      <c r="Q110" s="148"/>
    </row>
    <row r="111" spans="2:17" x14ac:dyDescent="0.2">
      <c r="B111" s="141"/>
      <c r="C111" s="142"/>
      <c r="D111" s="149"/>
      <c r="E111" s="143"/>
      <c r="F111" s="143"/>
      <c r="G111" s="143"/>
      <c r="H111" s="144"/>
      <c r="I111" s="144"/>
      <c r="J111" s="152"/>
      <c r="K111" s="145"/>
      <c r="L111" s="151"/>
      <c r="M111" s="143"/>
      <c r="N111" s="146"/>
      <c r="O111" s="22"/>
      <c r="P111" s="147"/>
      <c r="Q111" s="148"/>
    </row>
    <row r="112" spans="2:17" s="49" customFormat="1" ht="26.4" x14ac:dyDescent="0.2">
      <c r="B112" s="297" t="s">
        <v>307</v>
      </c>
      <c r="C112" s="65"/>
      <c r="D112" s="66"/>
      <c r="E112" s="28" t="str">
        <f>CONCATENATE("Totale fase ",E76)</f>
        <v>Totale fase OPERE INTERNE E LATTONERIE DI FINITURA</v>
      </c>
      <c r="F112" s="134"/>
      <c r="G112" s="118"/>
      <c r="H112" s="118"/>
      <c r="I112" s="118"/>
      <c r="J112" s="67"/>
      <c r="K112" s="81"/>
      <c r="L112" s="68"/>
      <c r="M112" s="92"/>
      <c r="N112" s="99">
        <f>SUM(M77:M111)</f>
        <v>18058.010000000002</v>
      </c>
      <c r="O112" s="69"/>
      <c r="P112" s="70"/>
      <c r="Q112" s="71">
        <f>SUM(P77:P111)</f>
        <v>10209.966496000001</v>
      </c>
    </row>
    <row r="113" spans="2:17" ht="17.399999999999999" customHeight="1" x14ac:dyDescent="0.2">
      <c r="B113" s="334"/>
      <c r="C113" s="335"/>
      <c r="D113" s="335"/>
      <c r="E113" s="335"/>
      <c r="F113" s="335"/>
      <c r="G113" s="335"/>
      <c r="H113" s="335"/>
      <c r="I113" s="335"/>
      <c r="J113" s="335"/>
      <c r="K113" s="335"/>
      <c r="L113" s="335"/>
      <c r="M113" s="335"/>
      <c r="N113" s="335"/>
      <c r="O113" s="335"/>
      <c r="P113" s="335"/>
      <c r="Q113" s="336"/>
    </row>
    <row r="114" spans="2:17" s="49" customFormat="1" ht="39.6" x14ac:dyDescent="0.2">
      <c r="B114" s="141"/>
      <c r="C114" s="27" t="s">
        <v>41</v>
      </c>
      <c r="D114" s="317" t="s">
        <v>367</v>
      </c>
      <c r="E114" s="28" t="s">
        <v>369</v>
      </c>
      <c r="F114" s="134"/>
      <c r="G114" s="118"/>
      <c r="H114" s="118"/>
      <c r="I114" s="118"/>
      <c r="J114" s="67"/>
      <c r="K114" s="81"/>
      <c r="L114" s="68"/>
      <c r="M114" s="92"/>
      <c r="N114" s="100"/>
      <c r="O114" s="72"/>
      <c r="P114" s="72">
        <f>J114*N114</f>
        <v>0</v>
      </c>
      <c r="Q114" s="73"/>
    </row>
    <row r="115" spans="2:17" s="49" customFormat="1" x14ac:dyDescent="0.2">
      <c r="B115" s="141"/>
      <c r="C115" s="50"/>
      <c r="D115" s="62"/>
      <c r="E115" s="63"/>
      <c r="F115" s="133"/>
      <c r="G115" s="121"/>
      <c r="H115" s="121"/>
      <c r="I115" s="121"/>
      <c r="J115" s="31"/>
      <c r="K115" s="78"/>
      <c r="L115" s="48"/>
      <c r="M115" s="91"/>
      <c r="N115" s="79"/>
      <c r="O115" s="22"/>
      <c r="P115" s="30"/>
      <c r="Q115" s="47"/>
    </row>
    <row r="116" spans="2:17" s="49" customFormat="1" x14ac:dyDescent="0.2">
      <c r="B116" s="141" t="s">
        <v>256</v>
      </c>
      <c r="C116" s="50"/>
      <c r="D116" s="61" t="s">
        <v>342</v>
      </c>
      <c r="E116" s="61" t="s">
        <v>343</v>
      </c>
      <c r="F116" s="132"/>
      <c r="G116" s="120"/>
      <c r="H116" s="120"/>
      <c r="I116" s="120"/>
      <c r="J116" s="22"/>
      <c r="K116" s="79"/>
      <c r="L116" s="74"/>
      <c r="M116" s="93"/>
      <c r="N116" s="79"/>
      <c r="O116" s="22"/>
      <c r="P116" s="22"/>
      <c r="Q116" s="75"/>
    </row>
    <row r="117" spans="2:17" s="49" customFormat="1" x14ac:dyDescent="0.2">
      <c r="B117" s="141"/>
      <c r="C117" s="50"/>
      <c r="D117" s="61"/>
      <c r="E117" s="61" t="s">
        <v>17</v>
      </c>
      <c r="F117" s="132"/>
      <c r="G117" s="120"/>
      <c r="I117" s="120"/>
      <c r="J117" s="22"/>
      <c r="K117" s="79"/>
      <c r="L117" s="74"/>
      <c r="M117" s="93"/>
      <c r="N117" s="79"/>
      <c r="O117" s="22"/>
      <c r="P117" s="22"/>
      <c r="Q117" s="75"/>
    </row>
    <row r="118" spans="2:17" s="49" customFormat="1" ht="20.399999999999999" x14ac:dyDescent="0.2">
      <c r="B118" s="141"/>
      <c r="C118" s="50"/>
      <c r="D118" s="61"/>
      <c r="E118" s="201" t="s">
        <v>344</v>
      </c>
      <c r="F118" s="132"/>
      <c r="G118" s="153">
        <f>2*80+2*15</f>
        <v>190</v>
      </c>
      <c r="H118" s="153"/>
      <c r="I118" s="153"/>
      <c r="J118" s="226"/>
      <c r="K118" s="93">
        <f>ROUND(PRODUCT(F118:I118),2)</f>
        <v>190</v>
      </c>
      <c r="L118" s="74"/>
      <c r="M118" s="93"/>
      <c r="N118" s="79"/>
      <c r="O118" s="22"/>
      <c r="P118" s="22"/>
      <c r="Q118" s="75"/>
    </row>
    <row r="119" spans="2:17" s="49" customFormat="1" x14ac:dyDescent="0.2">
      <c r="B119" s="141"/>
      <c r="C119" s="50"/>
      <c r="D119" s="61"/>
      <c r="E119" s="22"/>
      <c r="F119" s="132"/>
      <c r="G119" s="120"/>
      <c r="H119" s="120"/>
      <c r="I119" s="120"/>
      <c r="J119" s="22"/>
      <c r="K119" s="79"/>
      <c r="L119" s="74"/>
      <c r="M119" s="93"/>
      <c r="N119" s="79"/>
      <c r="O119" s="22"/>
      <c r="P119" s="22"/>
      <c r="Q119" s="75"/>
    </row>
    <row r="120" spans="2:17" s="49" customFormat="1" x14ac:dyDescent="0.2">
      <c r="B120" s="141"/>
      <c r="C120" s="50"/>
      <c r="D120" s="61"/>
      <c r="E120" s="22" t="s">
        <v>18</v>
      </c>
      <c r="F120" s="132"/>
      <c r="G120" s="120"/>
      <c r="H120" s="120"/>
      <c r="I120" s="120"/>
      <c r="J120" s="22" t="s">
        <v>42</v>
      </c>
      <c r="K120" s="79">
        <f>ROUND(SUM(K117:K119),2)</f>
        <v>190</v>
      </c>
      <c r="L120" s="51">
        <v>15.44</v>
      </c>
      <c r="M120" s="79">
        <f>ROUND(PRODUCT(K120:L120),2)</f>
        <v>2933.6</v>
      </c>
      <c r="N120" s="79"/>
      <c r="O120" s="22">
        <v>1.1399999999999999</v>
      </c>
      <c r="P120" s="22">
        <f>O120*K120</f>
        <v>216.6</v>
      </c>
      <c r="Q120" s="75"/>
    </row>
    <row r="121" spans="2:17" s="49" customFormat="1" x14ac:dyDescent="0.2">
      <c r="B121" s="141"/>
      <c r="C121" s="50"/>
      <c r="D121" s="61"/>
      <c r="E121" s="22"/>
      <c r="F121" s="132"/>
      <c r="G121" s="120"/>
      <c r="H121" s="120"/>
      <c r="I121" s="120"/>
      <c r="J121" s="22"/>
      <c r="K121" s="79"/>
      <c r="L121" s="51"/>
      <c r="M121" s="79"/>
      <c r="N121" s="79"/>
      <c r="O121" s="22"/>
      <c r="P121" s="22"/>
      <c r="Q121" s="75"/>
    </row>
    <row r="122" spans="2:17" s="49" customFormat="1" ht="20.399999999999999" x14ac:dyDescent="0.2">
      <c r="B122" s="141" t="s">
        <v>257</v>
      </c>
      <c r="C122" s="50"/>
      <c r="D122" s="61" t="s">
        <v>345</v>
      </c>
      <c r="E122" s="61" t="s">
        <v>346</v>
      </c>
      <c r="F122" s="132"/>
      <c r="G122" s="120"/>
      <c r="H122" s="120"/>
      <c r="I122" s="120"/>
      <c r="J122" s="22"/>
      <c r="K122" s="79"/>
      <c r="L122" s="74"/>
      <c r="M122" s="93"/>
      <c r="N122" s="79"/>
      <c r="O122" s="22"/>
      <c r="P122" s="22"/>
      <c r="Q122" s="75"/>
    </row>
    <row r="123" spans="2:17" s="49" customFormat="1" x14ac:dyDescent="0.2">
      <c r="B123" s="141"/>
      <c r="C123" s="50"/>
      <c r="D123" s="61"/>
      <c r="E123" s="61" t="s">
        <v>17</v>
      </c>
      <c r="F123" s="132"/>
      <c r="G123" s="120"/>
      <c r="H123" s="120"/>
      <c r="I123" s="120"/>
      <c r="J123" s="22"/>
      <c r="K123" s="79"/>
      <c r="L123" s="74"/>
      <c r="M123" s="93"/>
      <c r="N123" s="79"/>
      <c r="O123" s="22"/>
      <c r="P123" s="22"/>
      <c r="Q123" s="75"/>
    </row>
    <row r="124" spans="2:17" x14ac:dyDescent="0.2">
      <c r="B124" s="308"/>
      <c r="C124" s="142"/>
      <c r="D124" s="149"/>
      <c r="E124" s="149" t="s">
        <v>261</v>
      </c>
      <c r="F124" s="143">
        <v>2</v>
      </c>
      <c r="G124" s="120">
        <v>80</v>
      </c>
      <c r="H124" s="120">
        <v>5.4</v>
      </c>
      <c r="I124" s="144">
        <v>0.6</v>
      </c>
      <c r="J124" s="150"/>
      <c r="K124" s="145">
        <f>ROUND(PRODUCT(F124:I124),2)</f>
        <v>518.4</v>
      </c>
      <c r="L124" s="151"/>
      <c r="M124" s="79"/>
      <c r="N124" s="146"/>
      <c r="O124" s="143"/>
      <c r="P124" s="147">
        <f t="shared" ref="P124:P127" si="1">O124*K124</f>
        <v>0</v>
      </c>
      <c r="Q124" s="148"/>
    </row>
    <row r="125" spans="2:17" x14ac:dyDescent="0.2">
      <c r="B125" s="308"/>
      <c r="C125" s="142"/>
      <c r="D125" s="149"/>
      <c r="E125" s="149" t="s">
        <v>262</v>
      </c>
      <c r="F125" s="143">
        <v>2</v>
      </c>
      <c r="G125" s="120">
        <v>80</v>
      </c>
      <c r="H125" s="120">
        <v>1.2</v>
      </c>
      <c r="I125" s="144">
        <v>0.6</v>
      </c>
      <c r="J125" s="150"/>
      <c r="K125" s="145">
        <f>ROUND(PRODUCT(F125:I125),2)</f>
        <v>115.2</v>
      </c>
      <c r="L125" s="151"/>
      <c r="M125" s="79"/>
      <c r="N125" s="146"/>
      <c r="O125" s="143"/>
      <c r="P125" s="147">
        <f t="shared" si="1"/>
        <v>0</v>
      </c>
      <c r="Q125" s="148"/>
    </row>
    <row r="126" spans="2:17" x14ac:dyDescent="0.2">
      <c r="B126" s="308"/>
      <c r="C126" s="142"/>
      <c r="D126" s="149"/>
      <c r="E126" s="149" t="s">
        <v>263</v>
      </c>
      <c r="F126" s="143">
        <v>1</v>
      </c>
      <c r="G126" s="120">
        <v>26</v>
      </c>
      <c r="H126" s="120">
        <f>1+1.5</f>
        <v>2.5</v>
      </c>
      <c r="I126" s="144">
        <v>0.6</v>
      </c>
      <c r="J126" s="150"/>
      <c r="K126" s="145">
        <f>ROUND(PRODUCT(F126:I126),2)</f>
        <v>39</v>
      </c>
      <c r="L126" s="151"/>
      <c r="M126" s="79"/>
      <c r="N126" s="146"/>
      <c r="O126" s="143"/>
      <c r="P126" s="147">
        <f t="shared" si="1"/>
        <v>0</v>
      </c>
      <c r="Q126" s="148"/>
    </row>
    <row r="127" spans="2:17" x14ac:dyDescent="0.2">
      <c r="B127" s="308"/>
      <c r="C127" s="142"/>
      <c r="D127" s="149"/>
      <c r="E127" s="149" t="s">
        <v>264</v>
      </c>
      <c r="F127" s="143">
        <v>1</v>
      </c>
      <c r="G127" s="120">
        <v>26</v>
      </c>
      <c r="H127" s="120">
        <f>1+4</f>
        <v>5</v>
      </c>
      <c r="I127" s="144">
        <v>0.6</v>
      </c>
      <c r="J127" s="150"/>
      <c r="K127" s="145">
        <f>ROUND(PRODUCT(F127:I127),2)</f>
        <v>78</v>
      </c>
      <c r="L127" s="151"/>
      <c r="M127" s="79"/>
      <c r="N127" s="146"/>
      <c r="O127" s="143"/>
      <c r="P127" s="147">
        <f t="shared" si="1"/>
        <v>0</v>
      </c>
      <c r="Q127" s="148"/>
    </row>
    <row r="128" spans="2:17" s="49" customFormat="1" x14ac:dyDescent="0.2">
      <c r="B128" s="141"/>
      <c r="C128" s="50"/>
      <c r="D128" s="61"/>
      <c r="E128" s="22" t="s">
        <v>18</v>
      </c>
      <c r="F128" s="132"/>
      <c r="G128" s="120"/>
      <c r="H128" s="120"/>
      <c r="I128" s="120"/>
      <c r="J128" s="22" t="s">
        <v>42</v>
      </c>
      <c r="K128" s="79">
        <f>ROUND(SUM(K124:K127),2)</f>
        <v>750.6</v>
      </c>
      <c r="L128" s="51">
        <v>20.52</v>
      </c>
      <c r="M128" s="79">
        <f>ROUND(PRODUCT(K128:L128),2)</f>
        <v>15402.31</v>
      </c>
      <c r="N128" s="79"/>
      <c r="O128" s="22">
        <v>0.5</v>
      </c>
      <c r="P128" s="22">
        <f>O128*K128</f>
        <v>375.3</v>
      </c>
      <c r="Q128" s="75"/>
    </row>
    <row r="129" spans="2:17" s="49" customFormat="1" x14ac:dyDescent="0.2">
      <c r="B129" s="141"/>
      <c r="C129" s="50"/>
      <c r="D129" s="62"/>
      <c r="E129" s="63"/>
      <c r="F129" s="133"/>
      <c r="G129" s="121"/>
      <c r="H129" s="121"/>
      <c r="I129" s="153"/>
      <c r="J129" s="31"/>
      <c r="K129" s="80"/>
      <c r="L129" s="48"/>
      <c r="M129" s="91"/>
      <c r="N129" s="79"/>
      <c r="O129" s="22"/>
      <c r="P129" s="30">
        <f>O129*K129</f>
        <v>0</v>
      </c>
      <c r="Q129" s="47"/>
    </row>
    <row r="130" spans="2:17" s="49" customFormat="1" x14ac:dyDescent="0.2">
      <c r="B130" s="141" t="s">
        <v>258</v>
      </c>
      <c r="C130" s="50"/>
      <c r="D130" s="61" t="s">
        <v>347</v>
      </c>
      <c r="E130" s="61" t="s">
        <v>348</v>
      </c>
      <c r="F130" s="132"/>
      <c r="G130" s="120"/>
      <c r="H130" s="120"/>
      <c r="I130" s="120"/>
      <c r="J130" s="22"/>
      <c r="K130" s="79"/>
      <c r="L130" s="74"/>
      <c r="M130" s="93"/>
      <c r="N130" s="79"/>
      <c r="O130" s="22"/>
      <c r="P130" s="22"/>
      <c r="Q130" s="75"/>
    </row>
    <row r="131" spans="2:17" s="49" customFormat="1" x14ac:dyDescent="0.2">
      <c r="B131" s="141"/>
      <c r="C131" s="50"/>
      <c r="D131" s="61"/>
      <c r="E131" s="61" t="s">
        <v>17</v>
      </c>
      <c r="F131" s="132"/>
      <c r="G131" s="120"/>
      <c r="H131" s="120"/>
      <c r="I131" s="120"/>
      <c r="J131" s="22"/>
      <c r="K131" s="79"/>
      <c r="L131" s="74"/>
      <c r="M131" s="93"/>
      <c r="N131" s="79"/>
      <c r="O131" s="22"/>
      <c r="P131" s="22"/>
      <c r="Q131" s="75"/>
    </row>
    <row r="132" spans="2:17" s="49" customFormat="1" x14ac:dyDescent="0.2">
      <c r="B132" s="141"/>
      <c r="C132" s="50"/>
      <c r="D132" s="61"/>
      <c r="E132" s="61" t="s">
        <v>349</v>
      </c>
      <c r="F132" s="132"/>
      <c r="G132" s="120">
        <v>348</v>
      </c>
      <c r="H132" s="120"/>
      <c r="I132" s="120"/>
      <c r="J132" s="22"/>
      <c r="K132" s="79">
        <f>ROUND(PRODUCT(F132:I132),2)</f>
        <v>348</v>
      </c>
      <c r="L132" s="74"/>
      <c r="M132" s="93"/>
      <c r="N132" s="79"/>
      <c r="O132" s="22"/>
      <c r="P132" s="22"/>
      <c r="Q132" s="75"/>
    </row>
    <row r="133" spans="2:17" s="49" customFormat="1" x14ac:dyDescent="0.2">
      <c r="B133" s="141"/>
      <c r="C133" s="50"/>
      <c r="D133" s="61"/>
      <c r="E133" s="22"/>
      <c r="F133" s="132"/>
      <c r="G133" s="120"/>
      <c r="H133" s="120"/>
      <c r="I133" s="120"/>
      <c r="J133" s="22"/>
      <c r="K133" s="79"/>
      <c r="L133" s="74"/>
      <c r="M133" s="93"/>
      <c r="N133" s="79"/>
      <c r="O133" s="22"/>
      <c r="P133" s="22"/>
      <c r="Q133" s="75"/>
    </row>
    <row r="134" spans="2:17" s="49" customFormat="1" x14ac:dyDescent="0.2">
      <c r="B134" s="141"/>
      <c r="C134" s="50"/>
      <c r="D134" s="61"/>
      <c r="E134" s="22" t="s">
        <v>18</v>
      </c>
      <c r="F134" s="132"/>
      <c r="G134" s="120"/>
      <c r="H134" s="120"/>
      <c r="I134" s="120"/>
      <c r="J134" s="22" t="s">
        <v>75</v>
      </c>
      <c r="K134" s="79">
        <f>ROUND(SUM(K130:K133),2)</f>
        <v>348</v>
      </c>
      <c r="L134" s="51">
        <v>73.069999999999993</v>
      </c>
      <c r="M134" s="79">
        <f>ROUND(PRODUCT(K134:L134),2)</f>
        <v>25428.36</v>
      </c>
      <c r="N134" s="79"/>
      <c r="O134" s="22">
        <v>0.77</v>
      </c>
      <c r="P134" s="22">
        <f>O134*K134</f>
        <v>267.95999999999998</v>
      </c>
      <c r="Q134" s="75"/>
    </row>
    <row r="135" spans="2:17" s="49" customFormat="1" x14ac:dyDescent="0.2">
      <c r="B135" s="141"/>
      <c r="C135" s="50"/>
      <c r="D135" s="62"/>
      <c r="E135" s="63"/>
      <c r="F135" s="133"/>
      <c r="G135" s="121"/>
      <c r="H135" s="121"/>
      <c r="I135" s="153"/>
      <c r="J135" s="31"/>
      <c r="K135" s="80"/>
      <c r="L135" s="48"/>
      <c r="M135" s="91"/>
      <c r="N135" s="79"/>
      <c r="O135" s="22"/>
      <c r="P135" s="30">
        <f>O135*K135</f>
        <v>0</v>
      </c>
      <c r="Q135" s="47"/>
    </row>
    <row r="136" spans="2:17" s="49" customFormat="1" x14ac:dyDescent="0.2">
      <c r="B136" s="141" t="s">
        <v>265</v>
      </c>
      <c r="C136" s="50"/>
      <c r="D136" s="61" t="s">
        <v>350</v>
      </c>
      <c r="E136" s="61" t="s">
        <v>351</v>
      </c>
      <c r="F136" s="132"/>
      <c r="G136" s="120"/>
      <c r="H136" s="120"/>
      <c r="I136" s="120"/>
      <c r="J136" s="22"/>
      <c r="K136" s="79"/>
      <c r="L136" s="74"/>
      <c r="M136" s="93"/>
      <c r="N136" s="79"/>
      <c r="O136" s="22"/>
      <c r="P136" s="22"/>
      <c r="Q136" s="75"/>
    </row>
    <row r="137" spans="2:17" s="49" customFormat="1" x14ac:dyDescent="0.2">
      <c r="B137" s="141"/>
      <c r="C137" s="50"/>
      <c r="D137" s="61"/>
      <c r="E137" s="61" t="s">
        <v>17</v>
      </c>
      <c r="F137" s="132"/>
      <c r="G137" s="120"/>
      <c r="H137" s="120"/>
      <c r="I137" s="120"/>
      <c r="J137" s="22"/>
      <c r="K137" s="79"/>
      <c r="L137" s="74"/>
      <c r="M137" s="93"/>
      <c r="N137" s="79"/>
      <c r="O137" s="22"/>
      <c r="P137" s="22"/>
      <c r="Q137" s="75"/>
    </row>
    <row r="138" spans="2:17" s="49" customFormat="1" x14ac:dyDescent="0.2">
      <c r="B138" s="141"/>
      <c r="C138" s="50"/>
      <c r="D138" s="61"/>
      <c r="E138" s="61" t="s">
        <v>349</v>
      </c>
      <c r="F138" s="132"/>
      <c r="G138" s="120">
        <v>120</v>
      </c>
      <c r="H138" s="120"/>
      <c r="I138" s="120"/>
      <c r="J138" s="22"/>
      <c r="K138" s="79">
        <f>ROUND(PRODUCT(F138:I138),2)</f>
        <v>120</v>
      </c>
      <c r="L138" s="74"/>
      <c r="M138" s="93"/>
      <c r="N138" s="79"/>
      <c r="O138" s="22"/>
      <c r="P138" s="22"/>
      <c r="Q138" s="75"/>
    </row>
    <row r="139" spans="2:17" s="49" customFormat="1" x14ac:dyDescent="0.2">
      <c r="B139" s="141"/>
      <c r="C139" s="50"/>
      <c r="D139" s="61"/>
      <c r="E139" s="22"/>
      <c r="F139" s="132"/>
      <c r="G139" s="120"/>
      <c r="H139" s="120"/>
      <c r="I139" s="120"/>
      <c r="J139" s="22"/>
      <c r="K139" s="79"/>
      <c r="L139" s="74"/>
      <c r="M139" s="93"/>
      <c r="N139" s="79"/>
      <c r="O139" s="22"/>
      <c r="P139" s="22"/>
      <c r="Q139" s="75"/>
    </row>
    <row r="140" spans="2:17" s="49" customFormat="1" x14ac:dyDescent="0.2">
      <c r="B140" s="141"/>
      <c r="C140" s="50"/>
      <c r="D140" s="61"/>
      <c r="E140" s="22" t="s">
        <v>18</v>
      </c>
      <c r="F140" s="132"/>
      <c r="G140" s="120"/>
      <c r="H140" s="120"/>
      <c r="I140" s="120"/>
      <c r="J140" s="22" t="s">
        <v>75</v>
      </c>
      <c r="K140" s="79">
        <f>ROUND(SUM(K136:K139),2)</f>
        <v>120</v>
      </c>
      <c r="L140" s="51">
        <v>36.9</v>
      </c>
      <c r="M140" s="79">
        <f>ROUND(PRODUCT(K140:L140),2)</f>
        <v>4428</v>
      </c>
      <c r="N140" s="79"/>
      <c r="O140" s="22">
        <v>0.38</v>
      </c>
      <c r="P140" s="22">
        <f>O140*K140</f>
        <v>45.6</v>
      </c>
      <c r="Q140" s="75"/>
    </row>
    <row r="141" spans="2:17" s="49" customFormat="1" x14ac:dyDescent="0.2">
      <c r="B141" s="141"/>
      <c r="C141" s="50"/>
      <c r="D141" s="62"/>
      <c r="E141" s="63"/>
      <c r="F141" s="133"/>
      <c r="G141" s="121"/>
      <c r="H141" s="121"/>
      <c r="I141" s="121"/>
      <c r="J141" s="31"/>
      <c r="K141" s="80"/>
      <c r="L141" s="48"/>
      <c r="M141" s="79"/>
      <c r="N141" s="79"/>
      <c r="O141" s="22"/>
      <c r="P141" s="30">
        <f>O141*K141</f>
        <v>0</v>
      </c>
      <c r="Q141" s="47"/>
    </row>
    <row r="142" spans="2:17" s="49" customFormat="1" x14ac:dyDescent="0.2">
      <c r="B142" s="141"/>
      <c r="C142" s="50"/>
      <c r="D142" s="21"/>
      <c r="E142" s="30"/>
      <c r="F142" s="131"/>
      <c r="G142" s="119"/>
      <c r="H142" s="119"/>
      <c r="I142" s="119"/>
      <c r="J142" s="30"/>
      <c r="K142" s="78"/>
      <c r="L142" s="48"/>
      <c r="M142" s="79"/>
      <c r="N142" s="79"/>
      <c r="O142" s="22"/>
      <c r="P142" s="30"/>
      <c r="Q142" s="47"/>
    </row>
    <row r="143" spans="2:17" ht="61.2" x14ac:dyDescent="0.2">
      <c r="B143" s="309" t="s">
        <v>267</v>
      </c>
      <c r="C143" s="142"/>
      <c r="D143" s="61" t="s">
        <v>260</v>
      </c>
      <c r="E143" s="61" t="s">
        <v>259</v>
      </c>
      <c r="F143" s="143"/>
      <c r="G143" s="143"/>
      <c r="H143" s="144"/>
      <c r="I143" s="144"/>
      <c r="J143" s="143"/>
      <c r="K143" s="143"/>
      <c r="L143" s="143"/>
      <c r="M143" s="79"/>
      <c r="N143" s="146"/>
      <c r="O143" s="143"/>
      <c r="P143" s="147">
        <f t="shared" ref="P143:P150" si="2">O143*K143</f>
        <v>0</v>
      </c>
      <c r="Q143" s="148"/>
    </row>
    <row r="144" spans="2:17" x14ac:dyDescent="0.2">
      <c r="B144" s="308"/>
      <c r="C144" s="142"/>
      <c r="D144" s="149"/>
      <c r="E144" s="149" t="s">
        <v>17</v>
      </c>
      <c r="F144" s="143"/>
      <c r="G144" s="143"/>
      <c r="H144" s="144"/>
      <c r="I144" s="144"/>
      <c r="J144" s="143"/>
      <c r="K144" s="143"/>
      <c r="L144" s="143"/>
      <c r="M144" s="79"/>
      <c r="N144" s="146"/>
      <c r="O144" s="143"/>
      <c r="P144" s="147">
        <f t="shared" si="2"/>
        <v>0</v>
      </c>
      <c r="Q144" s="148"/>
    </row>
    <row r="145" spans="2:17" x14ac:dyDescent="0.2">
      <c r="B145" s="308"/>
      <c r="C145" s="142"/>
      <c r="D145" s="149"/>
      <c r="E145" s="149" t="s">
        <v>261</v>
      </c>
      <c r="F145" s="143">
        <v>2</v>
      </c>
      <c r="G145" s="120">
        <v>80</v>
      </c>
      <c r="H145" s="120">
        <v>5.4</v>
      </c>
      <c r="I145" s="144">
        <v>0.1</v>
      </c>
      <c r="J145" s="150"/>
      <c r="K145" s="145">
        <f>ROUND(PRODUCT(F145:I145),2)</f>
        <v>86.4</v>
      </c>
      <c r="L145" s="151"/>
      <c r="M145" s="79"/>
      <c r="N145" s="146"/>
      <c r="O145" s="143"/>
      <c r="P145" s="147">
        <f t="shared" si="2"/>
        <v>0</v>
      </c>
      <c r="Q145" s="148"/>
    </row>
    <row r="146" spans="2:17" x14ac:dyDescent="0.2">
      <c r="B146" s="308"/>
      <c r="C146" s="142"/>
      <c r="D146" s="149"/>
      <c r="E146" s="149" t="s">
        <v>262</v>
      </c>
      <c r="F146" s="143">
        <v>2</v>
      </c>
      <c r="G146" s="120">
        <v>80</v>
      </c>
      <c r="H146" s="120">
        <v>1.2</v>
      </c>
      <c r="I146" s="144">
        <v>0.1</v>
      </c>
      <c r="J146" s="150"/>
      <c r="K146" s="145">
        <f>ROUND(PRODUCT(F146:I146),2)</f>
        <v>19.2</v>
      </c>
      <c r="L146" s="151"/>
      <c r="M146" s="79"/>
      <c r="N146" s="146"/>
      <c r="O146" s="143"/>
      <c r="P146" s="147">
        <f t="shared" si="2"/>
        <v>0</v>
      </c>
      <c r="Q146" s="148"/>
    </row>
    <row r="147" spans="2:17" x14ac:dyDescent="0.2">
      <c r="B147" s="308"/>
      <c r="C147" s="142"/>
      <c r="D147" s="149"/>
      <c r="E147" s="149" t="s">
        <v>263</v>
      </c>
      <c r="F147" s="143">
        <v>1</v>
      </c>
      <c r="G147" s="120">
        <v>26</v>
      </c>
      <c r="H147" s="120">
        <f>1+1.5</f>
        <v>2.5</v>
      </c>
      <c r="I147" s="144">
        <v>0.1</v>
      </c>
      <c r="J147" s="150"/>
      <c r="K147" s="145">
        <f>ROUND(PRODUCT(F147:I147),2)</f>
        <v>6.5</v>
      </c>
      <c r="L147" s="151"/>
      <c r="M147" s="79"/>
      <c r="N147" s="146"/>
      <c r="O147" s="143"/>
      <c r="P147" s="147">
        <f t="shared" si="2"/>
        <v>0</v>
      </c>
      <c r="Q147" s="148"/>
    </row>
    <row r="148" spans="2:17" x14ac:dyDescent="0.2">
      <c r="B148" s="308"/>
      <c r="C148" s="142"/>
      <c r="D148" s="149"/>
      <c r="E148" s="149" t="s">
        <v>264</v>
      </c>
      <c r="F148" s="143">
        <v>1</v>
      </c>
      <c r="G148" s="120">
        <v>26</v>
      </c>
      <c r="H148" s="120">
        <f>1+4</f>
        <v>5</v>
      </c>
      <c r="I148" s="144">
        <v>0.1</v>
      </c>
      <c r="J148" s="150"/>
      <c r="K148" s="145">
        <f>ROUND(PRODUCT(F148:I148),2)</f>
        <v>13</v>
      </c>
      <c r="L148" s="151"/>
      <c r="M148" s="79"/>
      <c r="N148" s="146"/>
      <c r="O148" s="143"/>
      <c r="P148" s="147">
        <f t="shared" si="2"/>
        <v>0</v>
      </c>
      <c r="Q148" s="148"/>
    </row>
    <row r="149" spans="2:17" x14ac:dyDescent="0.2">
      <c r="B149" s="308"/>
      <c r="C149" s="142"/>
      <c r="D149" s="149"/>
      <c r="E149" s="143"/>
      <c r="F149" s="143"/>
      <c r="G149" s="143"/>
      <c r="H149" s="144"/>
      <c r="I149" s="144"/>
      <c r="J149" s="150"/>
      <c r="K149" s="145"/>
      <c r="L149" s="151"/>
      <c r="M149" s="79"/>
      <c r="N149" s="146"/>
      <c r="O149" s="143"/>
      <c r="P149" s="147">
        <f t="shared" si="2"/>
        <v>0</v>
      </c>
      <c r="Q149" s="148"/>
    </row>
    <row r="150" spans="2:17" x14ac:dyDescent="0.2">
      <c r="B150" s="308"/>
      <c r="C150" s="142"/>
      <c r="D150" s="149"/>
      <c r="E150" s="22" t="s">
        <v>18</v>
      </c>
      <c r="F150" s="143"/>
      <c r="G150" s="143"/>
      <c r="H150" s="144"/>
      <c r="I150" s="144"/>
      <c r="J150" s="22" t="s">
        <v>42</v>
      </c>
      <c r="K150" s="145">
        <f>ROUND(SUM(K145:K149),2)</f>
        <v>125.1</v>
      </c>
      <c r="L150" s="151">
        <v>121.61</v>
      </c>
      <c r="M150" s="79">
        <f>ROUND(PRODUCT(K150:L150),2)</f>
        <v>15213.41</v>
      </c>
      <c r="N150" s="146"/>
      <c r="O150" s="22">
        <v>1.95</v>
      </c>
      <c r="P150" s="147">
        <f t="shared" si="2"/>
        <v>243.94499999999999</v>
      </c>
      <c r="Q150" s="148"/>
    </row>
    <row r="151" spans="2:17" s="49" customFormat="1" x14ac:dyDescent="0.2">
      <c r="B151" s="141"/>
      <c r="C151" s="50"/>
      <c r="D151" s="21"/>
      <c r="E151" s="30"/>
      <c r="F151" s="131"/>
      <c r="G151" s="119"/>
      <c r="H151" s="119"/>
      <c r="I151" s="119"/>
      <c r="J151" s="30"/>
      <c r="K151" s="78"/>
      <c r="L151" s="48"/>
      <c r="M151" s="79"/>
      <c r="N151" s="79"/>
      <c r="O151" s="22"/>
      <c r="P151" s="30"/>
      <c r="Q151" s="47"/>
    </row>
    <row r="152" spans="2:17" ht="40.799999999999997" x14ac:dyDescent="0.2">
      <c r="B152" s="309" t="s">
        <v>268</v>
      </c>
      <c r="C152" s="142"/>
      <c r="D152" s="61" t="s">
        <v>260</v>
      </c>
      <c r="E152" s="61" t="s">
        <v>266</v>
      </c>
      <c r="F152" s="143"/>
      <c r="G152" s="143"/>
      <c r="H152" s="144"/>
      <c r="I152" s="144"/>
      <c r="J152" s="143"/>
      <c r="K152" s="143"/>
      <c r="L152" s="143"/>
      <c r="M152" s="79"/>
      <c r="N152" s="146"/>
      <c r="O152" s="143"/>
      <c r="P152" s="147">
        <f t="shared" ref="P152:P159" si="3">O152*K152</f>
        <v>0</v>
      </c>
      <c r="Q152" s="148"/>
    </row>
    <row r="153" spans="2:17" x14ac:dyDescent="0.2">
      <c r="B153" s="308"/>
      <c r="C153" s="142"/>
      <c r="D153" s="149"/>
      <c r="E153" s="149" t="s">
        <v>17</v>
      </c>
      <c r="F153" s="143"/>
      <c r="G153" s="143"/>
      <c r="H153" s="144"/>
      <c r="I153" s="144"/>
      <c r="J153" s="143"/>
      <c r="K153" s="143"/>
      <c r="L153" s="143"/>
      <c r="M153" s="79"/>
      <c r="N153" s="146"/>
      <c r="O153" s="143"/>
      <c r="P153" s="147">
        <f t="shared" si="3"/>
        <v>0</v>
      </c>
      <c r="Q153" s="148"/>
    </row>
    <row r="154" spans="2:17" x14ac:dyDescent="0.2">
      <c r="B154" s="308"/>
      <c r="C154" s="142"/>
      <c r="D154" s="149"/>
      <c r="E154" s="149" t="s">
        <v>261</v>
      </c>
      <c r="F154" s="143">
        <v>2</v>
      </c>
      <c r="G154" s="120">
        <v>80</v>
      </c>
      <c r="H154" s="120">
        <v>5.4</v>
      </c>
      <c r="I154" s="144">
        <v>0.1</v>
      </c>
      <c r="J154" s="150"/>
      <c r="K154" s="145">
        <f>ROUND(PRODUCT(F154:I154),2)</f>
        <v>86.4</v>
      </c>
      <c r="L154" s="151"/>
      <c r="M154" s="79"/>
      <c r="N154" s="146"/>
      <c r="O154" s="143"/>
      <c r="P154" s="147">
        <f t="shared" si="3"/>
        <v>0</v>
      </c>
      <c r="Q154" s="148"/>
    </row>
    <row r="155" spans="2:17" x14ac:dyDescent="0.2">
      <c r="B155" s="308"/>
      <c r="C155" s="142"/>
      <c r="D155" s="149"/>
      <c r="E155" s="149" t="s">
        <v>262</v>
      </c>
      <c r="F155" s="143">
        <v>2</v>
      </c>
      <c r="G155" s="120">
        <v>80</v>
      </c>
      <c r="H155" s="120">
        <v>1.2</v>
      </c>
      <c r="I155" s="144">
        <v>0.1</v>
      </c>
      <c r="J155" s="150"/>
      <c r="K155" s="145">
        <f>ROUND(PRODUCT(F155:I155),2)</f>
        <v>19.2</v>
      </c>
      <c r="L155" s="151"/>
      <c r="M155" s="79"/>
      <c r="N155" s="146"/>
      <c r="O155" s="143"/>
      <c r="P155" s="147">
        <f t="shared" si="3"/>
        <v>0</v>
      </c>
      <c r="Q155" s="148"/>
    </row>
    <row r="156" spans="2:17" x14ac:dyDescent="0.2">
      <c r="B156" s="308"/>
      <c r="C156" s="142"/>
      <c r="D156" s="149"/>
      <c r="E156" s="149" t="s">
        <v>263</v>
      </c>
      <c r="F156" s="143">
        <v>1</v>
      </c>
      <c r="G156" s="120">
        <v>26</v>
      </c>
      <c r="H156" s="120">
        <f>1+1.5</f>
        <v>2.5</v>
      </c>
      <c r="I156" s="144">
        <v>0.1</v>
      </c>
      <c r="J156" s="150"/>
      <c r="K156" s="145">
        <f>ROUND(PRODUCT(F156:I156),2)</f>
        <v>6.5</v>
      </c>
      <c r="L156" s="151"/>
      <c r="M156" s="79"/>
      <c r="N156" s="146"/>
      <c r="O156" s="143"/>
      <c r="P156" s="147">
        <f t="shared" si="3"/>
        <v>0</v>
      </c>
      <c r="Q156" s="148"/>
    </row>
    <row r="157" spans="2:17" x14ac:dyDescent="0.2">
      <c r="B157" s="308"/>
      <c r="C157" s="142"/>
      <c r="D157" s="149"/>
      <c r="E157" s="149" t="s">
        <v>264</v>
      </c>
      <c r="F157" s="143">
        <v>1</v>
      </c>
      <c r="G157" s="120">
        <v>26</v>
      </c>
      <c r="H157" s="120">
        <f>1+4</f>
        <v>5</v>
      </c>
      <c r="I157" s="144">
        <v>0.1</v>
      </c>
      <c r="J157" s="150"/>
      <c r="K157" s="145">
        <f>ROUND(PRODUCT(F157:I157),2)</f>
        <v>13</v>
      </c>
      <c r="L157" s="151"/>
      <c r="M157" s="79"/>
      <c r="N157" s="146"/>
      <c r="O157" s="143"/>
      <c r="P157" s="147">
        <f t="shared" si="3"/>
        <v>0</v>
      </c>
      <c r="Q157" s="148"/>
    </row>
    <row r="158" spans="2:17" x14ac:dyDescent="0.2">
      <c r="B158" s="308"/>
      <c r="C158" s="142"/>
      <c r="D158" s="149"/>
      <c r="E158" s="143"/>
      <c r="F158" s="143"/>
      <c r="G158" s="143"/>
      <c r="H158" s="144"/>
      <c r="I158" s="144"/>
      <c r="J158" s="150"/>
      <c r="K158" s="145"/>
      <c r="L158" s="151"/>
      <c r="M158" s="79"/>
      <c r="N158" s="146"/>
      <c r="O158" s="143"/>
      <c r="P158" s="147">
        <f t="shared" si="3"/>
        <v>0</v>
      </c>
      <c r="Q158" s="148"/>
    </row>
    <row r="159" spans="2:17" x14ac:dyDescent="0.2">
      <c r="B159" s="308"/>
      <c r="C159" s="142"/>
      <c r="D159" s="149"/>
      <c r="E159" s="22" t="s">
        <v>18</v>
      </c>
      <c r="F159" s="143"/>
      <c r="G159" s="143"/>
      <c r="H159" s="144"/>
      <c r="I159" s="144"/>
      <c r="J159" s="22" t="s">
        <v>42</v>
      </c>
      <c r="K159" s="145">
        <f>ROUND(SUM(K154:K158),2)</f>
        <v>125.1</v>
      </c>
      <c r="L159" s="151">
        <v>2.57</v>
      </c>
      <c r="M159" s="79">
        <f>ROUND(PRODUCT(K159:L159),2)</f>
        <v>321.51</v>
      </c>
      <c r="N159" s="146"/>
      <c r="O159" s="22">
        <v>0.04</v>
      </c>
      <c r="P159" s="147">
        <f t="shared" si="3"/>
        <v>5.0039999999999996</v>
      </c>
      <c r="Q159" s="148"/>
    </row>
    <row r="160" spans="2:17" s="49" customFormat="1" x14ac:dyDescent="0.2">
      <c r="B160" s="141"/>
      <c r="C160" s="50"/>
      <c r="D160" s="21"/>
      <c r="E160" s="30"/>
      <c r="F160" s="131"/>
      <c r="G160" s="119"/>
      <c r="H160" s="119"/>
      <c r="I160" s="119"/>
      <c r="J160" s="30"/>
      <c r="K160" s="78"/>
      <c r="L160" s="48"/>
      <c r="M160" s="79"/>
      <c r="N160" s="79"/>
      <c r="O160" s="22"/>
      <c r="P160" s="30"/>
      <c r="Q160" s="47"/>
    </row>
    <row r="161" spans="2:17" ht="51" x14ac:dyDescent="0.2">
      <c r="B161" s="309" t="s">
        <v>269</v>
      </c>
      <c r="C161" s="142"/>
      <c r="D161" s="61" t="s">
        <v>46</v>
      </c>
      <c r="E161" s="61" t="s">
        <v>47</v>
      </c>
      <c r="F161" s="143"/>
      <c r="G161" s="143"/>
      <c r="H161" s="144"/>
      <c r="I161" s="144"/>
      <c r="J161" s="143"/>
      <c r="K161" s="143"/>
      <c r="L161" s="143"/>
      <c r="M161" s="79"/>
      <c r="N161" s="146"/>
      <c r="O161" s="143"/>
      <c r="P161" s="147">
        <f t="shared" ref="P161:P168" si="4">O161*K161</f>
        <v>0</v>
      </c>
      <c r="Q161" s="148"/>
    </row>
    <row r="162" spans="2:17" x14ac:dyDescent="0.2">
      <c r="B162" s="308"/>
      <c r="C162" s="142"/>
      <c r="D162" s="149"/>
      <c r="E162" s="149" t="s">
        <v>17</v>
      </c>
      <c r="F162" s="143"/>
      <c r="G162" s="143"/>
      <c r="H162" s="144"/>
      <c r="I162" s="144"/>
      <c r="J162" s="143"/>
      <c r="K162" s="143"/>
      <c r="L162" s="143"/>
      <c r="M162" s="79"/>
      <c r="N162" s="146"/>
      <c r="O162" s="143"/>
      <c r="P162" s="147">
        <f t="shared" si="4"/>
        <v>0</v>
      </c>
      <c r="Q162" s="148"/>
    </row>
    <row r="163" spans="2:17" x14ac:dyDescent="0.2">
      <c r="B163" s="308"/>
      <c r="C163" s="142"/>
      <c r="D163" s="149"/>
      <c r="E163" s="149" t="s">
        <v>261</v>
      </c>
      <c r="F163" s="143">
        <v>2</v>
      </c>
      <c r="G163" s="120">
        <v>80</v>
      </c>
      <c r="H163" s="120">
        <v>5.4</v>
      </c>
      <c r="I163" s="144">
        <v>0.1</v>
      </c>
      <c r="J163" s="150"/>
      <c r="K163" s="145">
        <f>ROUND(PRODUCT(F163:I163),2)</f>
        <v>86.4</v>
      </c>
      <c r="L163" s="151"/>
      <c r="M163" s="79"/>
      <c r="N163" s="146"/>
      <c r="O163" s="143"/>
      <c r="P163" s="147">
        <f t="shared" si="4"/>
        <v>0</v>
      </c>
      <c r="Q163" s="148"/>
    </row>
    <row r="164" spans="2:17" x14ac:dyDescent="0.2">
      <c r="B164" s="308"/>
      <c r="C164" s="142"/>
      <c r="D164" s="149"/>
      <c r="E164" s="149" t="s">
        <v>262</v>
      </c>
      <c r="F164" s="143">
        <v>2</v>
      </c>
      <c r="G164" s="120">
        <v>80</v>
      </c>
      <c r="H164" s="120">
        <v>1.2</v>
      </c>
      <c r="I164" s="144">
        <v>0.1</v>
      </c>
      <c r="J164" s="150"/>
      <c r="K164" s="145">
        <f>ROUND(PRODUCT(F164:I164),2)</f>
        <v>19.2</v>
      </c>
      <c r="L164" s="151"/>
      <c r="M164" s="79"/>
      <c r="N164" s="146"/>
      <c r="O164" s="143"/>
      <c r="P164" s="147">
        <f t="shared" si="4"/>
        <v>0</v>
      </c>
      <c r="Q164" s="148"/>
    </row>
    <row r="165" spans="2:17" x14ac:dyDescent="0.2">
      <c r="B165" s="308"/>
      <c r="C165" s="142"/>
      <c r="D165" s="149"/>
      <c r="E165" s="149" t="s">
        <v>263</v>
      </c>
      <c r="F165" s="143">
        <v>1</v>
      </c>
      <c r="G165" s="120">
        <v>26</v>
      </c>
      <c r="H165" s="120">
        <f>1+1.5</f>
        <v>2.5</v>
      </c>
      <c r="I165" s="144">
        <v>0.1</v>
      </c>
      <c r="J165" s="150"/>
      <c r="K165" s="145">
        <f>ROUND(PRODUCT(F165:I165),2)</f>
        <v>6.5</v>
      </c>
      <c r="L165" s="151"/>
      <c r="M165" s="79"/>
      <c r="N165" s="146"/>
      <c r="O165" s="143"/>
      <c r="P165" s="147">
        <f t="shared" si="4"/>
        <v>0</v>
      </c>
      <c r="Q165" s="148"/>
    </row>
    <row r="166" spans="2:17" x14ac:dyDescent="0.2">
      <c r="B166" s="308"/>
      <c r="C166" s="142"/>
      <c r="D166" s="149"/>
      <c r="E166" s="149" t="s">
        <v>264</v>
      </c>
      <c r="F166" s="143">
        <v>1</v>
      </c>
      <c r="G166" s="120">
        <v>26</v>
      </c>
      <c r="H166" s="120">
        <f>1+4</f>
        <v>5</v>
      </c>
      <c r="I166" s="144">
        <v>0.1</v>
      </c>
      <c r="J166" s="150"/>
      <c r="K166" s="145">
        <f>ROUND(PRODUCT(F166:I166),2)</f>
        <v>13</v>
      </c>
      <c r="L166" s="151"/>
      <c r="M166" s="79"/>
      <c r="N166" s="146"/>
      <c r="O166" s="143"/>
      <c r="P166" s="147">
        <f t="shared" si="4"/>
        <v>0</v>
      </c>
      <c r="Q166" s="148"/>
    </row>
    <row r="167" spans="2:17" x14ac:dyDescent="0.2">
      <c r="B167" s="308"/>
      <c r="C167" s="142"/>
      <c r="D167" s="149"/>
      <c r="E167" s="143"/>
      <c r="F167" s="143"/>
      <c r="G167" s="143"/>
      <c r="H167" s="144"/>
      <c r="I167" s="144"/>
      <c r="J167" s="150"/>
      <c r="K167" s="145"/>
      <c r="L167" s="151"/>
      <c r="M167" s="79"/>
      <c r="N167" s="146"/>
      <c r="O167" s="143"/>
      <c r="P167" s="147">
        <f t="shared" si="4"/>
        <v>0</v>
      </c>
      <c r="Q167" s="148"/>
    </row>
    <row r="168" spans="2:17" x14ac:dyDescent="0.2">
      <c r="B168" s="308"/>
      <c r="C168" s="142"/>
      <c r="D168" s="149"/>
      <c r="E168" s="22" t="s">
        <v>18</v>
      </c>
      <c r="F168" s="143"/>
      <c r="G168" s="143"/>
      <c r="H168" s="144"/>
      <c r="I168" s="144"/>
      <c r="J168" s="22" t="s">
        <v>42</v>
      </c>
      <c r="K168" s="145">
        <f>ROUND(SUM(K163:K167),2)</f>
        <v>125.1</v>
      </c>
      <c r="L168" s="151">
        <v>9.4499999999999993</v>
      </c>
      <c r="M168" s="79">
        <f>ROUND(PRODUCT(K168:L168),2)</f>
        <v>1182.2</v>
      </c>
      <c r="N168" s="146"/>
      <c r="O168" s="22">
        <v>0.15</v>
      </c>
      <c r="P168" s="147">
        <f t="shared" si="4"/>
        <v>18.764999999999997</v>
      </c>
      <c r="Q168" s="148"/>
    </row>
    <row r="169" spans="2:17" s="49" customFormat="1" x14ac:dyDescent="0.2">
      <c r="B169" s="141"/>
      <c r="C169" s="50"/>
      <c r="D169" s="21"/>
      <c r="E169" s="30"/>
      <c r="F169" s="131"/>
      <c r="G169" s="119"/>
      <c r="H169" s="119"/>
      <c r="I169" s="119"/>
      <c r="J169" s="30"/>
      <c r="K169" s="78"/>
      <c r="L169" s="48"/>
      <c r="M169" s="79"/>
      <c r="N169" s="79"/>
      <c r="O169" s="22"/>
      <c r="P169" s="30"/>
      <c r="Q169" s="47"/>
    </row>
    <row r="170" spans="2:17" ht="40.799999999999997" x14ac:dyDescent="0.2">
      <c r="B170" s="309" t="s">
        <v>271</v>
      </c>
      <c r="C170" s="142"/>
      <c r="D170" s="61" t="s">
        <v>46</v>
      </c>
      <c r="E170" s="61" t="s">
        <v>270</v>
      </c>
      <c r="F170" s="143"/>
      <c r="G170" s="143"/>
      <c r="H170" s="144"/>
      <c r="I170" s="144"/>
      <c r="J170" s="143"/>
      <c r="K170" s="143"/>
      <c r="L170" s="143"/>
      <c r="M170" s="79"/>
      <c r="N170" s="146"/>
      <c r="O170" s="143"/>
      <c r="P170" s="147">
        <f t="shared" ref="P170:P178" si="5">O170*K170</f>
        <v>0</v>
      </c>
      <c r="Q170" s="148"/>
    </row>
    <row r="171" spans="2:17" x14ac:dyDescent="0.2">
      <c r="B171" s="308"/>
      <c r="C171" s="142"/>
      <c r="D171" s="149"/>
      <c r="E171" s="149" t="s">
        <v>17</v>
      </c>
      <c r="F171" s="143"/>
      <c r="G171" s="143"/>
      <c r="H171" s="144"/>
      <c r="I171" s="144"/>
      <c r="J171" s="143"/>
      <c r="K171" s="143"/>
      <c r="L171" s="143"/>
      <c r="M171" s="79"/>
      <c r="N171" s="146"/>
      <c r="O171" s="143"/>
      <c r="P171" s="147">
        <f t="shared" si="5"/>
        <v>0</v>
      </c>
      <c r="Q171" s="148"/>
    </row>
    <row r="172" spans="2:17" x14ac:dyDescent="0.2">
      <c r="B172" s="308"/>
      <c r="C172" s="142"/>
      <c r="D172" s="149"/>
      <c r="E172" s="149" t="s">
        <v>261</v>
      </c>
      <c r="F172" s="143">
        <v>2</v>
      </c>
      <c r="G172" s="120">
        <v>80</v>
      </c>
      <c r="H172" s="120">
        <v>5.4</v>
      </c>
      <c r="I172" s="144">
        <v>0.1</v>
      </c>
      <c r="J172" s="150"/>
      <c r="K172" s="145">
        <f>ROUND(PRODUCT(F172:I172),2)</f>
        <v>86.4</v>
      </c>
      <c r="L172" s="151"/>
      <c r="M172" s="79"/>
      <c r="N172" s="146"/>
      <c r="O172" s="143"/>
      <c r="P172" s="147">
        <f t="shared" si="5"/>
        <v>0</v>
      </c>
      <c r="Q172" s="148"/>
    </row>
    <row r="173" spans="2:17" x14ac:dyDescent="0.2">
      <c r="B173" s="308"/>
      <c r="C173" s="142"/>
      <c r="D173" s="149"/>
      <c r="E173" s="149" t="s">
        <v>262</v>
      </c>
      <c r="F173" s="143">
        <v>2</v>
      </c>
      <c r="G173" s="120">
        <v>80</v>
      </c>
      <c r="H173" s="120">
        <v>1.2</v>
      </c>
      <c r="I173" s="144">
        <v>0.1</v>
      </c>
      <c r="J173" s="150"/>
      <c r="K173" s="145">
        <f>ROUND(PRODUCT(F173:I173),2)</f>
        <v>19.2</v>
      </c>
      <c r="L173" s="151"/>
      <c r="M173" s="79"/>
      <c r="N173" s="146"/>
      <c r="O173" s="143"/>
      <c r="P173" s="147">
        <f t="shared" si="5"/>
        <v>0</v>
      </c>
      <c r="Q173" s="148"/>
    </row>
    <row r="174" spans="2:17" x14ac:dyDescent="0.2">
      <c r="B174" s="308"/>
      <c r="C174" s="142"/>
      <c r="D174" s="149"/>
      <c r="E174" s="149" t="s">
        <v>263</v>
      </c>
      <c r="F174" s="143">
        <v>1</v>
      </c>
      <c r="G174" s="120">
        <v>26</v>
      </c>
      <c r="H174" s="120">
        <f>1+1.5</f>
        <v>2.5</v>
      </c>
      <c r="I174" s="144">
        <v>0.1</v>
      </c>
      <c r="J174" s="150"/>
      <c r="K174" s="145">
        <f>ROUND(PRODUCT(F174:I174),2)</f>
        <v>6.5</v>
      </c>
      <c r="L174" s="151"/>
      <c r="M174" s="79"/>
      <c r="N174" s="146"/>
      <c r="O174" s="143"/>
      <c r="P174" s="147">
        <f t="shared" si="5"/>
        <v>0</v>
      </c>
      <c r="Q174" s="148"/>
    </row>
    <row r="175" spans="2:17" x14ac:dyDescent="0.2">
      <c r="B175" s="308"/>
      <c r="C175" s="142"/>
      <c r="D175" s="149"/>
      <c r="E175" s="149" t="s">
        <v>264</v>
      </c>
      <c r="F175" s="143">
        <v>1</v>
      </c>
      <c r="G175" s="120">
        <v>26</v>
      </c>
      <c r="H175" s="120">
        <f>1+4</f>
        <v>5</v>
      </c>
      <c r="I175" s="144">
        <v>0.1</v>
      </c>
      <c r="J175" s="150"/>
      <c r="K175" s="145">
        <f>ROUND(PRODUCT(F175:I175),2)</f>
        <v>13</v>
      </c>
      <c r="L175" s="151"/>
      <c r="M175" s="79"/>
      <c r="N175" s="146"/>
      <c r="O175" s="143"/>
      <c r="P175" s="147">
        <f t="shared" si="5"/>
        <v>0</v>
      </c>
      <c r="Q175" s="148"/>
    </row>
    <row r="176" spans="2:17" x14ac:dyDescent="0.2">
      <c r="B176" s="308"/>
      <c r="C176" s="142"/>
      <c r="D176" s="149"/>
      <c r="E176" s="143"/>
      <c r="F176" s="143"/>
      <c r="G176" s="143"/>
      <c r="H176" s="144"/>
      <c r="I176" s="144"/>
      <c r="J176" s="150"/>
      <c r="K176" s="145"/>
      <c r="L176" s="151"/>
      <c r="M176" s="79"/>
      <c r="N176" s="146"/>
      <c r="O176" s="143"/>
      <c r="P176" s="147">
        <f t="shared" si="5"/>
        <v>0</v>
      </c>
      <c r="Q176" s="148"/>
    </row>
    <row r="177" spans="2:17" x14ac:dyDescent="0.2">
      <c r="B177" s="308"/>
      <c r="C177" s="142"/>
      <c r="D177" s="149"/>
      <c r="E177" s="22" t="s">
        <v>18</v>
      </c>
      <c r="F177" s="143"/>
      <c r="G177" s="143"/>
      <c r="H177" s="144"/>
      <c r="I177" s="144"/>
      <c r="J177" s="22" t="s">
        <v>42</v>
      </c>
      <c r="K177" s="145">
        <f>ROUND(SUM(K172:K176),2)</f>
        <v>125.1</v>
      </c>
      <c r="L177" s="151">
        <v>6.3</v>
      </c>
      <c r="M177" s="79">
        <f>ROUND(PRODUCT(K177:L177),2)</f>
        <v>788.13</v>
      </c>
      <c r="N177" s="146"/>
      <c r="O177" s="22">
        <v>0.1</v>
      </c>
      <c r="P177" s="147">
        <f t="shared" si="5"/>
        <v>12.51</v>
      </c>
      <c r="Q177" s="148"/>
    </row>
    <row r="178" spans="2:17" s="49" customFormat="1" x14ac:dyDescent="0.2">
      <c r="B178" s="141"/>
      <c r="C178" s="50"/>
      <c r="D178" s="62"/>
      <c r="E178" s="63"/>
      <c r="F178" s="133"/>
      <c r="G178" s="121"/>
      <c r="H178" s="121"/>
      <c r="I178" s="121"/>
      <c r="J178" s="31"/>
      <c r="K178" s="80"/>
      <c r="L178" s="48"/>
      <c r="M178" s="91"/>
      <c r="N178" s="79"/>
      <c r="O178" s="22"/>
      <c r="P178" s="30">
        <f t="shared" si="5"/>
        <v>0</v>
      </c>
      <c r="Q178" s="47"/>
    </row>
    <row r="179" spans="2:17" s="49" customFormat="1" x14ac:dyDescent="0.2">
      <c r="B179" s="141"/>
      <c r="C179" s="50"/>
      <c r="D179" s="21"/>
      <c r="E179" s="30"/>
      <c r="F179" s="131"/>
      <c r="G179" s="119"/>
      <c r="H179" s="119"/>
      <c r="I179" s="119"/>
      <c r="J179" s="30"/>
      <c r="K179" s="78"/>
      <c r="L179" s="48"/>
      <c r="M179" s="90"/>
      <c r="N179" s="79"/>
      <c r="O179" s="22"/>
      <c r="P179" s="30"/>
      <c r="Q179" s="47"/>
    </row>
    <row r="180" spans="2:17" ht="20.399999999999999" x14ac:dyDescent="0.2">
      <c r="B180" s="309" t="s">
        <v>273</v>
      </c>
      <c r="C180" s="142"/>
      <c r="D180" s="61" t="s">
        <v>51</v>
      </c>
      <c r="E180" s="61" t="s">
        <v>52</v>
      </c>
      <c r="F180" s="143"/>
      <c r="G180" s="143"/>
      <c r="H180" s="144"/>
      <c r="I180" s="144"/>
      <c r="J180" s="143"/>
      <c r="K180" s="143"/>
      <c r="L180" s="143"/>
      <c r="M180" s="145"/>
      <c r="N180" s="146"/>
      <c r="O180" s="143"/>
      <c r="P180" s="147">
        <f>O180*K180</f>
        <v>0</v>
      </c>
      <c r="Q180" s="148"/>
    </row>
    <row r="181" spans="2:17" x14ac:dyDescent="0.2">
      <c r="B181" s="308"/>
      <c r="C181" s="142"/>
      <c r="D181" s="149"/>
      <c r="E181" s="149" t="s">
        <v>17</v>
      </c>
      <c r="F181" s="143"/>
      <c r="G181" s="143"/>
      <c r="H181" s="144"/>
      <c r="I181" s="144"/>
      <c r="J181" s="143"/>
      <c r="K181" s="143"/>
      <c r="L181" s="143"/>
      <c r="M181" s="145"/>
      <c r="N181" s="146"/>
      <c r="O181" s="143"/>
      <c r="P181" s="147">
        <f>O181*K181</f>
        <v>0</v>
      </c>
      <c r="Q181" s="148"/>
    </row>
    <row r="182" spans="2:17" x14ac:dyDescent="0.2">
      <c r="B182" s="308"/>
      <c r="C182" s="142"/>
      <c r="D182" s="149"/>
      <c r="E182" s="61" t="s">
        <v>272</v>
      </c>
      <c r="F182" s="143">
        <v>1.2</v>
      </c>
      <c r="G182" s="120"/>
      <c r="H182" s="284">
        <f>K177/0.1</f>
        <v>1250.9999999999998</v>
      </c>
      <c r="I182" s="144">
        <v>2.98</v>
      </c>
      <c r="J182" s="150"/>
      <c r="K182" s="285">
        <f>ROUND(PRODUCT(F182:I182),2)</f>
        <v>4473.58</v>
      </c>
      <c r="L182" s="151"/>
      <c r="M182" s="143"/>
      <c r="N182" s="146"/>
      <c r="O182" s="143"/>
      <c r="P182" s="147">
        <f>O182*K182</f>
        <v>0</v>
      </c>
      <c r="Q182" s="148"/>
    </row>
    <row r="183" spans="2:17" x14ac:dyDescent="0.2">
      <c r="B183" s="308"/>
      <c r="C183" s="142"/>
      <c r="D183" s="149"/>
      <c r="E183" s="143"/>
      <c r="F183" s="143"/>
      <c r="G183" s="143"/>
      <c r="H183" s="144"/>
      <c r="I183" s="144"/>
      <c r="J183" s="150"/>
      <c r="K183" s="285"/>
      <c r="L183" s="151"/>
      <c r="M183" s="143"/>
      <c r="N183" s="146"/>
      <c r="O183" s="143"/>
      <c r="P183" s="147">
        <f>O183*K183</f>
        <v>0</v>
      </c>
      <c r="Q183" s="148"/>
    </row>
    <row r="184" spans="2:17" x14ac:dyDescent="0.2">
      <c r="B184" s="308"/>
      <c r="C184" s="142"/>
      <c r="D184" s="149"/>
      <c r="E184" s="143" t="s">
        <v>19</v>
      </c>
      <c r="F184" s="143"/>
      <c r="G184" s="143"/>
      <c r="H184" s="144"/>
      <c r="I184" s="144"/>
      <c r="J184" s="152" t="s">
        <v>43</v>
      </c>
      <c r="K184" s="285">
        <f>ROUND(SUM(K182:K183),2)</f>
        <v>4473.58</v>
      </c>
      <c r="L184" s="151">
        <v>1.29</v>
      </c>
      <c r="M184" s="79">
        <f>ROUND(PRODUCT(K184:L184),2)</f>
        <v>5770.92</v>
      </c>
      <c r="N184" s="146"/>
      <c r="O184" s="22">
        <v>0.02</v>
      </c>
      <c r="P184" s="147">
        <f>O184*K184</f>
        <v>89.471599999999995</v>
      </c>
      <c r="Q184" s="148"/>
    </row>
    <row r="185" spans="2:17" s="49" customFormat="1" x14ac:dyDescent="0.2">
      <c r="B185" s="141"/>
      <c r="C185" s="50"/>
      <c r="D185" s="21"/>
      <c r="E185" s="30"/>
      <c r="F185" s="131"/>
      <c r="G185" s="119"/>
      <c r="H185" s="119"/>
      <c r="I185" s="119"/>
      <c r="J185" s="30"/>
      <c r="K185" s="78"/>
      <c r="L185" s="48"/>
      <c r="M185" s="79"/>
      <c r="N185" s="79"/>
      <c r="O185" s="22"/>
      <c r="P185" s="30"/>
      <c r="Q185" s="47"/>
    </row>
    <row r="186" spans="2:17" s="49" customFormat="1" x14ac:dyDescent="0.2">
      <c r="B186" s="141"/>
      <c r="C186" s="50"/>
      <c r="D186" s="21"/>
      <c r="E186" s="30"/>
      <c r="F186" s="131"/>
      <c r="G186" s="119"/>
      <c r="H186" s="119"/>
      <c r="I186" s="119"/>
      <c r="J186" s="30"/>
      <c r="K186" s="78"/>
      <c r="L186" s="48"/>
      <c r="M186" s="79"/>
      <c r="N186" s="79"/>
      <c r="O186" s="22"/>
      <c r="P186" s="30"/>
      <c r="Q186" s="47"/>
    </row>
    <row r="187" spans="2:17" ht="71.400000000000006" x14ac:dyDescent="0.2">
      <c r="B187" s="309" t="s">
        <v>274</v>
      </c>
      <c r="C187" s="142"/>
      <c r="D187" s="61" t="s">
        <v>276</v>
      </c>
      <c r="E187" s="21" t="s">
        <v>352</v>
      </c>
      <c r="F187" s="143"/>
      <c r="G187" s="143"/>
      <c r="H187" s="144"/>
      <c r="I187" s="144"/>
      <c r="J187" s="143"/>
      <c r="K187" s="143"/>
      <c r="L187" s="143"/>
      <c r="M187" s="79"/>
      <c r="N187" s="146"/>
      <c r="O187" s="143"/>
      <c r="P187" s="147">
        <f>O187*K187</f>
        <v>0</v>
      </c>
      <c r="Q187" s="148"/>
    </row>
    <row r="188" spans="2:17" x14ac:dyDescent="0.2">
      <c r="B188" s="308"/>
      <c r="C188" s="142"/>
      <c r="D188" s="149"/>
      <c r="E188" s="149" t="s">
        <v>17</v>
      </c>
      <c r="F188" s="143"/>
      <c r="G188" s="143"/>
      <c r="H188" s="144"/>
      <c r="I188" s="144"/>
      <c r="J188" s="143"/>
      <c r="K188" s="143"/>
      <c r="L188" s="143"/>
      <c r="M188" s="79"/>
      <c r="N188" s="146"/>
      <c r="O188" s="143"/>
      <c r="P188" s="147">
        <f>O188*K188</f>
        <v>0</v>
      </c>
      <c r="Q188" s="148"/>
    </row>
    <row r="189" spans="2:17" x14ac:dyDescent="0.2">
      <c r="B189" s="308"/>
      <c r="C189" s="142"/>
      <c r="D189" s="149"/>
      <c r="E189" s="283" t="s">
        <v>385</v>
      </c>
      <c r="F189" s="143"/>
      <c r="G189" s="120"/>
      <c r="H189" s="120">
        <f>(78.58*24.5)-(14.5*77.2)</f>
        <v>805.81</v>
      </c>
      <c r="I189" s="144">
        <v>0.05</v>
      </c>
      <c r="J189" s="150"/>
      <c r="K189" s="145">
        <f>ROUND(PRODUCT(F189:I189),2)</f>
        <v>40.29</v>
      </c>
      <c r="L189" s="151"/>
      <c r="M189" s="79"/>
      <c r="N189" s="146"/>
      <c r="O189" s="143"/>
      <c r="P189" s="147">
        <f>O189*K189</f>
        <v>0</v>
      </c>
      <c r="Q189" s="148"/>
    </row>
    <row r="190" spans="2:17" x14ac:dyDescent="0.2">
      <c r="B190" s="308"/>
      <c r="C190" s="142"/>
      <c r="D190" s="149"/>
      <c r="E190" s="143"/>
      <c r="F190" s="143"/>
      <c r="G190" s="143"/>
      <c r="H190" s="144"/>
      <c r="I190" s="144"/>
      <c r="J190" s="150"/>
      <c r="K190" s="145"/>
      <c r="L190" s="151"/>
      <c r="M190" s="79"/>
      <c r="N190" s="146"/>
      <c r="O190" s="143"/>
      <c r="P190" s="147">
        <f>O190*K190</f>
        <v>0</v>
      </c>
      <c r="Q190" s="148"/>
    </row>
    <row r="191" spans="2:17" x14ac:dyDescent="0.2">
      <c r="B191" s="308"/>
      <c r="C191" s="142"/>
      <c r="D191" s="149"/>
      <c r="E191" s="22" t="s">
        <v>18</v>
      </c>
      <c r="F191" s="143"/>
      <c r="G191" s="143"/>
      <c r="H191" s="144"/>
      <c r="I191" s="144"/>
      <c r="J191" s="22" t="s">
        <v>42</v>
      </c>
      <c r="K191" s="145">
        <f>ROUND(SUM(K189:K190),2)</f>
        <v>40.29</v>
      </c>
      <c r="L191" s="151">
        <v>174.2</v>
      </c>
      <c r="M191" s="79">
        <f>ROUND(PRODUCT(K191:L191),2)</f>
        <v>7018.52</v>
      </c>
      <c r="N191" s="146"/>
      <c r="O191" s="22">
        <v>2.79</v>
      </c>
      <c r="P191" s="147">
        <f>O191*K191</f>
        <v>112.4091</v>
      </c>
      <c r="Q191" s="148"/>
    </row>
    <row r="192" spans="2:17" s="49" customFormat="1" x14ac:dyDescent="0.2">
      <c r="B192" s="141"/>
      <c r="C192" s="50"/>
      <c r="D192" s="21"/>
      <c r="E192" s="30"/>
      <c r="F192" s="131"/>
      <c r="G192" s="119"/>
      <c r="H192" s="119"/>
      <c r="I192" s="119"/>
      <c r="J192" s="30"/>
      <c r="K192" s="78"/>
      <c r="L192" s="48"/>
      <c r="M192" s="90"/>
      <c r="N192" s="79"/>
      <c r="O192" s="22"/>
      <c r="P192" s="30"/>
      <c r="Q192" s="47"/>
    </row>
    <row r="193" spans="2:17" ht="20.399999999999999" x14ac:dyDescent="0.2">
      <c r="B193" s="309" t="s">
        <v>275</v>
      </c>
      <c r="C193" s="142"/>
      <c r="D193" s="61" t="s">
        <v>51</v>
      </c>
      <c r="E193" s="61" t="s">
        <v>52</v>
      </c>
      <c r="F193" s="143"/>
      <c r="G193" s="143"/>
      <c r="H193" s="144"/>
      <c r="I193" s="144"/>
      <c r="J193" s="143"/>
      <c r="K193" s="143"/>
      <c r="L193" s="143"/>
      <c r="M193" s="145"/>
      <c r="N193" s="146"/>
      <c r="O193" s="143"/>
      <c r="P193" s="147">
        <f>O193*K193</f>
        <v>0</v>
      </c>
      <c r="Q193" s="148"/>
    </row>
    <row r="194" spans="2:17" x14ac:dyDescent="0.2">
      <c r="B194" s="308"/>
      <c r="C194" s="142"/>
      <c r="D194" s="149"/>
      <c r="E194" s="149" t="s">
        <v>17</v>
      </c>
      <c r="F194" s="143"/>
      <c r="G194" s="143"/>
      <c r="H194" s="144"/>
      <c r="I194" s="144"/>
      <c r="J194" s="143"/>
      <c r="K194" s="143"/>
      <c r="L194" s="143"/>
      <c r="M194" s="145"/>
      <c r="N194" s="146"/>
      <c r="O194" s="143"/>
      <c r="P194" s="147">
        <f>O194*K194</f>
        <v>0</v>
      </c>
      <c r="Q194" s="148"/>
    </row>
    <row r="195" spans="2:17" ht="20.399999999999999" x14ac:dyDescent="0.2">
      <c r="B195" s="308"/>
      <c r="C195" s="142"/>
      <c r="D195" s="149"/>
      <c r="E195" s="61" t="s">
        <v>353</v>
      </c>
      <c r="F195" s="143">
        <v>1.2</v>
      </c>
      <c r="G195" s="120"/>
      <c r="H195" s="120">
        <f>(78.58*24.5)-(14.5*77.2)</f>
        <v>805.81</v>
      </c>
      <c r="I195" s="144">
        <v>2.98</v>
      </c>
      <c r="J195" s="150"/>
      <c r="K195" s="285">
        <f>ROUND(PRODUCT(F195:I195),2)</f>
        <v>2881.58</v>
      </c>
      <c r="L195" s="151"/>
      <c r="M195" s="143"/>
      <c r="N195" s="146"/>
      <c r="O195" s="143"/>
      <c r="P195" s="147">
        <f>O195*K195</f>
        <v>0</v>
      </c>
      <c r="Q195" s="148"/>
    </row>
    <row r="196" spans="2:17" x14ac:dyDescent="0.2">
      <c r="B196" s="308"/>
      <c r="C196" s="142"/>
      <c r="D196" s="149"/>
      <c r="E196" s="143"/>
      <c r="F196" s="143"/>
      <c r="G196" s="143"/>
      <c r="H196" s="144"/>
      <c r="I196" s="144"/>
      <c r="J196" s="150"/>
      <c r="K196" s="285"/>
      <c r="L196" s="151"/>
      <c r="M196" s="143"/>
      <c r="N196" s="146"/>
      <c r="O196" s="143"/>
      <c r="P196" s="147">
        <f>O196*K196</f>
        <v>0</v>
      </c>
      <c r="Q196" s="148"/>
    </row>
    <row r="197" spans="2:17" x14ac:dyDescent="0.2">
      <c r="B197" s="308"/>
      <c r="C197" s="142"/>
      <c r="D197" s="149"/>
      <c r="E197" s="143" t="s">
        <v>19</v>
      </c>
      <c r="F197" s="143"/>
      <c r="G197" s="143"/>
      <c r="H197" s="144"/>
      <c r="I197" s="144"/>
      <c r="J197" s="152" t="s">
        <v>43</v>
      </c>
      <c r="K197" s="285">
        <f>ROUND(SUM(K195:K196),2)</f>
        <v>2881.58</v>
      </c>
      <c r="L197" s="151">
        <v>1.29</v>
      </c>
      <c r="M197" s="79">
        <f>ROUND(PRODUCT(K197:L197),2)</f>
        <v>3717.24</v>
      </c>
      <c r="N197" s="146"/>
      <c r="O197" s="22">
        <v>0.02</v>
      </c>
      <c r="P197" s="147">
        <f>O197*K197</f>
        <v>57.631599999999999</v>
      </c>
      <c r="Q197" s="148"/>
    </row>
    <row r="198" spans="2:17" s="49" customFormat="1" x14ac:dyDescent="0.2">
      <c r="B198" s="141"/>
      <c r="C198" s="50"/>
      <c r="D198" s="21"/>
      <c r="E198" s="30"/>
      <c r="F198" s="131"/>
      <c r="G198" s="119"/>
      <c r="H198" s="119"/>
      <c r="I198" s="119"/>
      <c r="J198" s="30"/>
      <c r="K198" s="78"/>
      <c r="L198" s="48"/>
      <c r="M198" s="79"/>
      <c r="N198" s="79"/>
      <c r="O198" s="22"/>
      <c r="P198" s="30"/>
      <c r="Q198" s="47"/>
    </row>
    <row r="199" spans="2:17" s="49" customFormat="1" x14ac:dyDescent="0.2">
      <c r="B199" s="141"/>
      <c r="C199" s="50"/>
      <c r="D199" s="21"/>
      <c r="E199" s="30"/>
      <c r="F199" s="131"/>
      <c r="G199" s="119"/>
      <c r="H199" s="119"/>
      <c r="I199" s="119"/>
      <c r="J199" s="30"/>
      <c r="K199" s="78"/>
      <c r="L199" s="48"/>
      <c r="M199" s="90"/>
      <c r="N199" s="79"/>
      <c r="O199" s="22"/>
      <c r="P199" s="30"/>
      <c r="Q199" s="47"/>
    </row>
    <row r="200" spans="2:17" ht="40.799999999999997" x14ac:dyDescent="0.2">
      <c r="B200" s="309" t="s">
        <v>370</v>
      </c>
      <c r="C200" s="142"/>
      <c r="D200" s="61" t="s">
        <v>371</v>
      </c>
      <c r="E200" s="61" t="s">
        <v>372</v>
      </c>
      <c r="F200" s="143"/>
      <c r="G200" s="143"/>
      <c r="H200" s="144"/>
      <c r="I200" s="144"/>
      <c r="J200" s="143"/>
      <c r="K200" s="143"/>
      <c r="L200" s="143"/>
      <c r="M200" s="145"/>
      <c r="N200" s="146"/>
      <c r="O200" s="143"/>
      <c r="P200" s="147">
        <f t="shared" ref="P200:P206" si="6">O200*K200</f>
        <v>0</v>
      </c>
      <c r="Q200" s="148"/>
    </row>
    <row r="201" spans="2:17" x14ac:dyDescent="0.2">
      <c r="B201" s="308"/>
      <c r="C201" s="142"/>
      <c r="D201" s="149"/>
      <c r="E201" s="149" t="s">
        <v>17</v>
      </c>
      <c r="F201" s="143"/>
      <c r="G201" s="143"/>
      <c r="H201" s="144"/>
      <c r="I201" s="144"/>
      <c r="J201" s="143"/>
      <c r="K201" s="143"/>
      <c r="L201" s="143"/>
      <c r="M201" s="145"/>
      <c r="N201" s="146"/>
      <c r="O201" s="143"/>
      <c r="P201" s="147">
        <f t="shared" si="6"/>
        <v>0</v>
      </c>
      <c r="Q201" s="148"/>
    </row>
    <row r="202" spans="2:17" x14ac:dyDescent="0.2">
      <c r="B202" s="308"/>
      <c r="C202" s="142"/>
      <c r="D202" s="149"/>
      <c r="E202" s="61" t="s">
        <v>373</v>
      </c>
      <c r="F202" s="143">
        <v>21</v>
      </c>
      <c r="G202" s="120">
        <v>1.2</v>
      </c>
      <c r="H202" s="120"/>
      <c r="I202" s="144"/>
      <c r="J202" s="150"/>
      <c r="K202" s="285">
        <f>ROUND(PRODUCT(F202:I202),2)</f>
        <v>25.2</v>
      </c>
      <c r="L202" s="151"/>
      <c r="M202" s="143"/>
      <c r="N202" s="146"/>
      <c r="O202" s="143"/>
      <c r="P202" s="147">
        <f t="shared" si="6"/>
        <v>0</v>
      </c>
      <c r="Q202" s="148"/>
    </row>
    <row r="203" spans="2:17" x14ac:dyDescent="0.2">
      <c r="B203" s="308"/>
      <c r="C203" s="142"/>
      <c r="D203" s="149"/>
      <c r="E203" s="61" t="s">
        <v>374</v>
      </c>
      <c r="F203" s="143">
        <v>17</v>
      </c>
      <c r="G203" s="120">
        <v>2</v>
      </c>
      <c r="H203" s="120"/>
      <c r="I203" s="144"/>
      <c r="J203" s="150"/>
      <c r="K203" s="285">
        <f>ROUND(PRODUCT(F203:I203),2)</f>
        <v>34</v>
      </c>
      <c r="L203" s="151"/>
      <c r="M203" s="143"/>
      <c r="N203" s="146"/>
      <c r="O203" s="143"/>
      <c r="P203" s="147">
        <f t="shared" si="6"/>
        <v>0</v>
      </c>
      <c r="Q203" s="148"/>
    </row>
    <row r="204" spans="2:17" x14ac:dyDescent="0.2">
      <c r="B204" s="308"/>
      <c r="C204" s="142"/>
      <c r="D204" s="149"/>
      <c r="E204" s="61" t="s">
        <v>386</v>
      </c>
      <c r="F204" s="143">
        <v>2</v>
      </c>
      <c r="G204" s="120">
        <v>7</v>
      </c>
      <c r="H204" s="120"/>
      <c r="I204" s="144"/>
      <c r="J204" s="150"/>
      <c r="K204" s="285">
        <f>ROUND(PRODUCT(F204:I204),2)</f>
        <v>14</v>
      </c>
      <c r="L204" s="151"/>
      <c r="M204" s="143"/>
      <c r="N204" s="146"/>
      <c r="O204" s="143"/>
      <c r="P204" s="147">
        <f t="shared" ref="P204" si="7">O204*K204</f>
        <v>0</v>
      </c>
      <c r="Q204" s="148"/>
    </row>
    <row r="205" spans="2:17" x14ac:dyDescent="0.2">
      <c r="B205" s="308"/>
      <c r="C205" s="142"/>
      <c r="D205" s="149"/>
      <c r="E205" s="143"/>
      <c r="F205" s="143"/>
      <c r="G205" s="143"/>
      <c r="H205" s="144"/>
      <c r="I205" s="144"/>
      <c r="J205" s="150"/>
      <c r="K205" s="285"/>
      <c r="L205" s="151"/>
      <c r="M205" s="143"/>
      <c r="N205" s="146"/>
      <c r="O205" s="143"/>
      <c r="P205" s="147">
        <f t="shared" si="6"/>
        <v>0</v>
      </c>
      <c r="Q205" s="148"/>
    </row>
    <row r="206" spans="2:17" x14ac:dyDescent="0.2">
      <c r="B206" s="308"/>
      <c r="C206" s="142"/>
      <c r="D206" s="149"/>
      <c r="E206" s="22" t="s">
        <v>74</v>
      </c>
      <c r="F206" s="143"/>
      <c r="G206" s="143"/>
      <c r="H206" s="144"/>
      <c r="I206" s="144"/>
      <c r="J206" s="152" t="s">
        <v>75</v>
      </c>
      <c r="K206" s="285">
        <f>ROUND(SUM(K202:K205),2)</f>
        <v>73.2</v>
      </c>
      <c r="L206" s="151">
        <f>0.68*20</f>
        <v>13.600000000000001</v>
      </c>
      <c r="M206" s="79">
        <f>ROUND(PRODUCT(K206:L206),2)</f>
        <v>995.52</v>
      </c>
      <c r="N206" s="146"/>
      <c r="O206" s="22">
        <f>0.02*20</f>
        <v>0.4</v>
      </c>
      <c r="P206" s="147">
        <f t="shared" si="6"/>
        <v>29.28</v>
      </c>
      <c r="Q206" s="148"/>
    </row>
    <row r="207" spans="2:17" s="49" customFormat="1" x14ac:dyDescent="0.2">
      <c r="B207" s="141"/>
      <c r="C207" s="50"/>
      <c r="D207" s="21"/>
      <c r="E207" s="30"/>
      <c r="F207" s="131"/>
      <c r="G207" s="119"/>
      <c r="H207" s="119"/>
      <c r="I207" s="119"/>
      <c r="J207" s="30"/>
      <c r="K207" s="78"/>
      <c r="L207" s="48"/>
      <c r="M207" s="79"/>
      <c r="N207" s="79"/>
      <c r="O207" s="22"/>
      <c r="P207" s="30"/>
      <c r="Q207" s="47"/>
    </row>
    <row r="208" spans="2:17" s="49" customFormat="1" x14ac:dyDescent="0.2">
      <c r="B208" s="141"/>
      <c r="C208" s="50"/>
      <c r="D208" s="62"/>
      <c r="E208" s="63"/>
      <c r="F208" s="133"/>
      <c r="G208" s="121"/>
      <c r="H208" s="121"/>
      <c r="I208" s="121"/>
      <c r="J208" s="31"/>
      <c r="K208" s="80"/>
      <c r="L208" s="48"/>
      <c r="M208" s="91"/>
      <c r="N208" s="79"/>
      <c r="O208" s="22"/>
      <c r="P208" s="30">
        <f t="shared" ref="P208" si="8">O208*K208</f>
        <v>0</v>
      </c>
      <c r="Q208" s="47"/>
    </row>
    <row r="209" spans="1:17" s="49" customFormat="1" ht="42.6" customHeight="1" x14ac:dyDescent="0.2">
      <c r="B209" s="297" t="s">
        <v>308</v>
      </c>
      <c r="C209" s="65"/>
      <c r="D209" s="66"/>
      <c r="E209" s="28" t="str">
        <f>CONCATENATE("Totale fase ",E114)</f>
        <v>Totale fase ADEGUAMNETO LAVORI DI RINTERRO E PAVIMENTAZIONE DELLE AREE AL PERIMETRO DEL FABBRICATO</v>
      </c>
      <c r="F209" s="134"/>
      <c r="G209" s="118"/>
      <c r="H209" s="118"/>
      <c r="I209" s="118"/>
      <c r="J209" s="67"/>
      <c r="K209" s="81"/>
      <c r="L209" s="68"/>
      <c r="M209" s="92"/>
      <c r="N209" s="99">
        <f>SUM(M115:M208)</f>
        <v>83199.720000000016</v>
      </c>
      <c r="O209" s="69"/>
      <c r="P209" s="70"/>
      <c r="Q209" s="71">
        <f>SUM(P115:P208)</f>
        <v>1474.4763</v>
      </c>
    </row>
    <row r="210" spans="1:17" ht="21" customHeight="1" x14ac:dyDescent="0.2">
      <c r="B210" s="334"/>
      <c r="C210" s="335"/>
      <c r="D210" s="335"/>
      <c r="E210" s="335"/>
      <c r="F210" s="335"/>
      <c r="G210" s="335"/>
      <c r="H210" s="335"/>
      <c r="I210" s="335"/>
      <c r="J210" s="335"/>
      <c r="K210" s="335"/>
      <c r="L210" s="335"/>
      <c r="M210" s="335"/>
      <c r="N210" s="335"/>
      <c r="O210" s="335"/>
      <c r="P210" s="335"/>
      <c r="Q210" s="336"/>
    </row>
    <row r="211" spans="1:17" s="49" customFormat="1" ht="26.4" x14ac:dyDescent="0.2">
      <c r="A211" s="141"/>
      <c r="B211" s="141"/>
      <c r="C211" s="27" t="s">
        <v>41</v>
      </c>
      <c r="D211" s="317" t="s">
        <v>375</v>
      </c>
      <c r="E211" s="28" t="s">
        <v>134</v>
      </c>
      <c r="F211" s="134"/>
      <c r="G211" s="118"/>
      <c r="H211" s="118"/>
      <c r="I211" s="118"/>
      <c r="J211" s="67"/>
      <c r="K211" s="81"/>
      <c r="L211" s="68"/>
      <c r="M211" s="92"/>
      <c r="N211" s="100"/>
      <c r="O211" s="72"/>
      <c r="P211" s="72">
        <f>J211*N211</f>
        <v>0</v>
      </c>
      <c r="Q211" s="73"/>
    </row>
    <row r="212" spans="1:17" s="49" customFormat="1" x14ac:dyDescent="0.2">
      <c r="A212" s="141"/>
      <c r="B212" s="141"/>
      <c r="C212" s="50"/>
      <c r="D212" s="62"/>
      <c r="E212" s="63"/>
      <c r="F212" s="133"/>
      <c r="G212" s="121"/>
      <c r="H212" s="121"/>
      <c r="I212" s="121"/>
      <c r="J212" s="31"/>
      <c r="K212" s="78"/>
      <c r="L212" s="48"/>
      <c r="M212" s="91"/>
      <c r="N212" s="79"/>
      <c r="O212" s="22"/>
      <c r="P212" s="30"/>
      <c r="Q212" s="47"/>
    </row>
    <row r="213" spans="1:17" ht="20.399999999999999" x14ac:dyDescent="0.2">
      <c r="A213" s="141"/>
      <c r="B213" s="141" t="s">
        <v>235</v>
      </c>
      <c r="C213" s="154">
        <v>1</v>
      </c>
      <c r="D213" s="159" t="s">
        <v>157</v>
      </c>
      <c r="E213" s="21" t="s">
        <v>158</v>
      </c>
      <c r="F213" s="147"/>
      <c r="G213" s="147"/>
      <c r="H213" s="156"/>
      <c r="I213" s="156"/>
      <c r="J213" s="169"/>
      <c r="K213" s="147"/>
      <c r="L213" s="157"/>
      <c r="M213" s="158"/>
      <c r="N213" s="147"/>
      <c r="O213" s="147"/>
      <c r="P213" s="147"/>
      <c r="Q213" s="148"/>
    </row>
    <row r="214" spans="1:17" x14ac:dyDescent="0.2">
      <c r="A214" s="141"/>
      <c r="B214" s="141"/>
      <c r="C214" s="154"/>
      <c r="D214" s="159"/>
      <c r="E214" s="21" t="s">
        <v>17</v>
      </c>
      <c r="F214" s="147"/>
      <c r="G214" s="147"/>
      <c r="H214" s="156"/>
      <c r="I214" s="156"/>
      <c r="J214" s="169"/>
      <c r="K214" s="147"/>
      <c r="L214" s="157"/>
      <c r="M214" s="158"/>
      <c r="N214" s="147"/>
      <c r="O214" s="147"/>
      <c r="P214" s="147"/>
      <c r="Q214" s="148"/>
    </row>
    <row r="215" spans="1:17" x14ac:dyDescent="0.2">
      <c r="A215" s="141"/>
      <c r="B215" s="141"/>
      <c r="C215" s="154"/>
      <c r="D215" s="159"/>
      <c r="E215" s="21" t="s">
        <v>159</v>
      </c>
      <c r="F215" s="147">
        <v>-17</v>
      </c>
      <c r="G215" s="147"/>
      <c r="H215" s="156"/>
      <c r="I215" s="156"/>
      <c r="J215" s="169"/>
      <c r="K215" s="147">
        <f>ROUND(PRODUCT(F215:I215),2)</f>
        <v>-17</v>
      </c>
      <c r="L215" s="157"/>
      <c r="M215" s="158"/>
      <c r="N215" s="147"/>
      <c r="O215" s="147"/>
      <c r="P215" s="147"/>
      <c r="Q215" s="148"/>
    </row>
    <row r="216" spans="1:17" x14ac:dyDescent="0.2">
      <c r="A216" s="141"/>
      <c r="B216" s="141"/>
      <c r="C216" s="154"/>
      <c r="D216" s="159"/>
      <c r="E216" s="30" t="s">
        <v>79</v>
      </c>
      <c r="F216" s="147"/>
      <c r="G216" s="147"/>
      <c r="H216" s="156"/>
      <c r="I216" s="156"/>
      <c r="J216" s="258" t="s">
        <v>70</v>
      </c>
      <c r="K216" s="180">
        <f>ROUND(SUM(K214:K215),2)</f>
        <v>-17</v>
      </c>
      <c r="L216" s="259">
        <v>127.32</v>
      </c>
      <c r="M216" s="260">
        <f>ROUND(PRODUCT(K216:L216),2)</f>
        <v>-2164.44</v>
      </c>
      <c r="N216" s="180"/>
      <c r="O216" s="180">
        <v>1.84</v>
      </c>
      <c r="P216" s="180">
        <f>O216*K216</f>
        <v>-31.28</v>
      </c>
      <c r="Q216" s="261"/>
    </row>
    <row r="217" spans="1:17" s="49" customFormat="1" x14ac:dyDescent="0.2">
      <c r="A217" s="141"/>
      <c r="B217" s="141"/>
      <c r="C217" s="50"/>
      <c r="D217" s="62"/>
      <c r="E217" s="63"/>
      <c r="F217" s="133"/>
      <c r="G217" s="121"/>
      <c r="H217" s="121"/>
      <c r="I217" s="121"/>
      <c r="J217" s="31"/>
      <c r="K217" s="78"/>
      <c r="L217" s="48"/>
      <c r="M217" s="91"/>
      <c r="N217" s="79"/>
      <c r="O217" s="22"/>
      <c r="P217" s="30"/>
      <c r="Q217" s="47"/>
    </row>
    <row r="218" spans="1:17" ht="122.4" x14ac:dyDescent="0.2">
      <c r="A218" s="141"/>
      <c r="B218" s="141" t="s">
        <v>236</v>
      </c>
      <c r="C218" s="154">
        <v>1</v>
      </c>
      <c r="D218" s="61" t="s">
        <v>160</v>
      </c>
      <c r="E218" s="61" t="s">
        <v>312</v>
      </c>
      <c r="F218" s="147"/>
      <c r="G218" s="147"/>
      <c r="H218" s="156"/>
      <c r="I218" s="156"/>
      <c r="J218" s="169"/>
      <c r="K218" s="147"/>
      <c r="L218" s="157"/>
      <c r="M218" s="158"/>
      <c r="N218" s="147"/>
      <c r="O218" s="147"/>
      <c r="P218" s="147"/>
      <c r="Q218" s="148"/>
    </row>
    <row r="219" spans="1:17" x14ac:dyDescent="0.2">
      <c r="A219" s="141"/>
      <c r="B219" s="141"/>
      <c r="C219" s="154"/>
      <c r="D219" s="159"/>
      <c r="E219" s="21" t="s">
        <v>17</v>
      </c>
      <c r="F219" s="147"/>
      <c r="G219" s="147"/>
      <c r="H219" s="156"/>
      <c r="I219" s="156"/>
      <c r="J219" s="169"/>
      <c r="K219" s="147"/>
      <c r="L219" s="157"/>
      <c r="M219" s="158"/>
      <c r="N219" s="147"/>
      <c r="O219" s="147"/>
      <c r="P219" s="147"/>
      <c r="Q219" s="148"/>
    </row>
    <row r="220" spans="1:17" x14ac:dyDescent="0.2">
      <c r="A220" s="141"/>
      <c r="B220" s="141"/>
      <c r="C220" s="154"/>
      <c r="D220" s="159"/>
      <c r="E220" s="255" t="s">
        <v>161</v>
      </c>
      <c r="F220" s="147">
        <v>17</v>
      </c>
      <c r="G220" s="147"/>
      <c r="H220" s="156"/>
      <c r="I220" s="156"/>
      <c r="J220" s="169"/>
      <c r="K220" s="147">
        <f>ROUND(PRODUCT(F220:I220),2)</f>
        <v>17</v>
      </c>
      <c r="L220" s="157"/>
      <c r="M220" s="158"/>
      <c r="N220" s="147"/>
      <c r="O220" s="147"/>
      <c r="P220" s="147"/>
      <c r="Q220" s="148"/>
    </row>
    <row r="221" spans="1:17" x14ac:dyDescent="0.2">
      <c r="A221" s="141"/>
      <c r="B221" s="141"/>
      <c r="C221" s="154"/>
      <c r="D221" s="159"/>
      <c r="E221" s="30" t="s">
        <v>79</v>
      </c>
      <c r="F221" s="147"/>
      <c r="G221" s="147"/>
      <c r="H221" s="156"/>
      <c r="I221" s="156"/>
      <c r="J221" s="170" t="s">
        <v>70</v>
      </c>
      <c r="K221" s="147">
        <f>ROUND(SUM(K219:K220),2)</f>
        <v>17</v>
      </c>
      <c r="L221" s="256">
        <v>1392.67</v>
      </c>
      <c r="M221" s="257">
        <f>ROUND(PRODUCT(K221:L221),2)</f>
        <v>23675.39</v>
      </c>
      <c r="N221" s="30"/>
      <c r="O221" s="30">
        <v>27.85</v>
      </c>
      <c r="P221" s="147">
        <f>O221*K221</f>
        <v>473.45000000000005</v>
      </c>
      <c r="Q221" s="148"/>
    </row>
    <row r="222" spans="1:17" s="49" customFormat="1" x14ac:dyDescent="0.2">
      <c r="A222" s="141"/>
      <c r="B222" s="141"/>
      <c r="C222" s="50"/>
      <c r="D222" s="62"/>
      <c r="E222" s="63"/>
      <c r="F222" s="133"/>
      <c r="G222" s="121"/>
      <c r="H222" s="121"/>
      <c r="I222" s="121"/>
      <c r="J222" s="31"/>
      <c r="K222" s="78"/>
      <c r="L222" s="48"/>
      <c r="M222" s="91"/>
      <c r="N222" s="79"/>
      <c r="O222" s="22"/>
      <c r="P222" s="30"/>
      <c r="Q222" s="47"/>
    </row>
    <row r="223" spans="1:17" ht="30.6" x14ac:dyDescent="0.2">
      <c r="A223" s="141"/>
      <c r="B223" s="141" t="s">
        <v>237</v>
      </c>
      <c r="C223" s="154">
        <v>1</v>
      </c>
      <c r="D223" s="21" t="s">
        <v>162</v>
      </c>
      <c r="E223" s="21" t="s">
        <v>163</v>
      </c>
      <c r="F223" s="147"/>
      <c r="G223" s="147"/>
      <c r="H223" s="156"/>
      <c r="I223" s="156"/>
      <c r="J223" s="169"/>
      <c r="K223" s="147"/>
      <c r="L223" s="157"/>
      <c r="M223" s="158"/>
      <c r="N223" s="147"/>
      <c r="O223" s="147"/>
      <c r="P223" s="147"/>
      <c r="Q223" s="148"/>
    </row>
    <row r="224" spans="1:17" x14ac:dyDescent="0.2">
      <c r="A224" s="141"/>
      <c r="B224" s="141"/>
      <c r="C224" s="154"/>
      <c r="D224" s="159"/>
      <c r="E224" s="21" t="s">
        <v>17</v>
      </c>
      <c r="F224" s="147"/>
      <c r="G224" s="147"/>
      <c r="H224" s="156"/>
      <c r="I224" s="156"/>
      <c r="J224" s="169"/>
      <c r="K224" s="147"/>
      <c r="L224" s="157"/>
      <c r="M224" s="158"/>
      <c r="N224" s="147"/>
      <c r="O224" s="147"/>
      <c r="P224" s="147"/>
      <c r="Q224" s="148"/>
    </row>
    <row r="225" spans="1:19" x14ac:dyDescent="0.2">
      <c r="A225" s="141"/>
      <c r="B225" s="141"/>
      <c r="C225" s="154"/>
      <c r="D225" s="159"/>
      <c r="E225" s="49" t="s">
        <v>164</v>
      </c>
      <c r="F225" s="147">
        <v>9</v>
      </c>
      <c r="G225" s="147"/>
      <c r="H225" s="156"/>
      <c r="I225" s="156"/>
      <c r="J225" s="169"/>
      <c r="K225" s="147">
        <f>ROUND(PRODUCT(F225:I225),2)</f>
        <v>9</v>
      </c>
      <c r="L225" s="157"/>
      <c r="M225" s="158"/>
      <c r="N225" s="147"/>
      <c r="O225" s="147"/>
      <c r="P225" s="147"/>
      <c r="Q225" s="148"/>
    </row>
    <row r="226" spans="1:19" x14ac:dyDescent="0.2">
      <c r="A226" s="141"/>
      <c r="B226" s="141"/>
      <c r="C226" s="154"/>
      <c r="D226" s="159"/>
      <c r="E226" s="30" t="s">
        <v>79</v>
      </c>
      <c r="F226" s="147"/>
      <c r="G226" s="147"/>
      <c r="H226" s="156"/>
      <c r="I226" s="156"/>
      <c r="J226" s="170" t="s">
        <v>70</v>
      </c>
      <c r="K226" s="147">
        <f>ROUND(SUM(K224:K225),2)</f>
        <v>9</v>
      </c>
      <c r="L226" s="162">
        <v>250.5</v>
      </c>
      <c r="M226" s="257">
        <f>ROUND(PRODUCT(K226:L226),2)</f>
        <v>2254.5</v>
      </c>
      <c r="N226" s="30"/>
      <c r="O226" s="30">
        <v>3.61</v>
      </c>
      <c r="P226" s="147">
        <f>O226*K226</f>
        <v>32.49</v>
      </c>
      <c r="Q226" s="148"/>
    </row>
    <row r="227" spans="1:19" x14ac:dyDescent="0.2">
      <c r="A227" s="141"/>
      <c r="B227" s="141"/>
      <c r="C227" s="154"/>
      <c r="D227" s="159"/>
      <c r="E227" s="30"/>
      <c r="F227" s="147"/>
      <c r="G227" s="147"/>
      <c r="H227" s="156"/>
      <c r="I227" s="156"/>
      <c r="J227" s="170"/>
      <c r="K227" s="147"/>
      <c r="L227" s="157"/>
      <c r="M227" s="158"/>
      <c r="N227" s="147"/>
      <c r="O227" s="147"/>
      <c r="P227" s="147"/>
      <c r="Q227" s="148"/>
    </row>
    <row r="228" spans="1:19" ht="20.399999999999999" x14ac:dyDescent="0.2">
      <c r="A228" s="141"/>
      <c r="B228" s="141" t="s">
        <v>238</v>
      </c>
      <c r="C228" s="154">
        <v>2</v>
      </c>
      <c r="D228" s="21" t="s">
        <v>155</v>
      </c>
      <c r="E228" s="249" t="s">
        <v>313</v>
      </c>
      <c r="F228" s="147"/>
      <c r="G228" s="147"/>
      <c r="H228" s="156"/>
      <c r="I228" s="156"/>
      <c r="J228" s="166"/>
      <c r="K228" s="147"/>
      <c r="L228" s="157"/>
      <c r="M228" s="158"/>
      <c r="N228" s="147"/>
      <c r="O228" s="147"/>
      <c r="P228" s="147"/>
      <c r="Q228" s="148"/>
    </row>
    <row r="229" spans="1:19" x14ac:dyDescent="0.2">
      <c r="A229" s="141"/>
      <c r="B229" s="141"/>
      <c r="C229" s="154"/>
      <c r="D229" s="159"/>
      <c r="E229" s="21" t="s">
        <v>17</v>
      </c>
      <c r="F229" s="147"/>
      <c r="G229" s="147"/>
      <c r="H229" s="156"/>
      <c r="I229" s="156"/>
      <c r="J229" s="166"/>
      <c r="K229" s="147"/>
      <c r="L229" s="157"/>
      <c r="M229" s="158"/>
      <c r="N229" s="147"/>
      <c r="O229" s="147"/>
      <c r="P229" s="147"/>
      <c r="Q229" s="148"/>
    </row>
    <row r="230" spans="1:19" x14ac:dyDescent="0.2">
      <c r="A230" s="141"/>
      <c r="B230" s="141"/>
      <c r="C230" s="154"/>
      <c r="D230" s="159"/>
      <c r="E230" s="21" t="s">
        <v>156</v>
      </c>
      <c r="F230" s="147">
        <v>3</v>
      </c>
      <c r="G230" s="147"/>
      <c r="H230" s="156"/>
      <c r="I230" s="156"/>
      <c r="J230" s="169"/>
      <c r="K230" s="147">
        <f>ROUND(PRODUCT(F230:I230),2)</f>
        <v>3</v>
      </c>
      <c r="L230" s="157"/>
      <c r="M230" s="158"/>
      <c r="N230" s="147"/>
      <c r="O230" s="147"/>
      <c r="P230" s="147"/>
      <c r="Q230" s="148"/>
    </row>
    <row r="231" spans="1:19" x14ac:dyDescent="0.2">
      <c r="A231" s="141"/>
      <c r="B231" s="141"/>
      <c r="C231" s="154"/>
      <c r="D231" s="159"/>
      <c r="E231" s="30" t="s">
        <v>79</v>
      </c>
      <c r="F231" s="147"/>
      <c r="G231" s="147"/>
      <c r="H231" s="156"/>
      <c r="I231" s="156"/>
      <c r="J231" s="167" t="s">
        <v>70</v>
      </c>
      <c r="K231" s="147">
        <f>ROUND(SUM(K229:K230),2)</f>
        <v>3</v>
      </c>
      <c r="L231" s="157">
        <v>201.21</v>
      </c>
      <c r="M231" s="158">
        <f>ROUND(PRODUCT(K231:L231),2)</f>
        <v>603.63</v>
      </c>
      <c r="N231" s="147"/>
      <c r="O231" s="147">
        <v>2.9</v>
      </c>
      <c r="P231" s="147">
        <f>O231*K231</f>
        <v>8.6999999999999993</v>
      </c>
      <c r="Q231" s="148"/>
    </row>
    <row r="232" spans="1:19" s="49" customFormat="1" x14ac:dyDescent="0.2">
      <c r="A232" s="141"/>
      <c r="B232" s="141"/>
      <c r="C232" s="162"/>
      <c r="D232" s="61"/>
      <c r="E232" s="163"/>
      <c r="F232" s="132"/>
      <c r="G232" s="120"/>
      <c r="H232" s="120"/>
      <c r="I232" s="120"/>
      <c r="J232" s="171"/>
      <c r="K232" s="79"/>
      <c r="L232" s="51"/>
      <c r="M232" s="79"/>
      <c r="N232" s="79"/>
      <c r="O232" s="22"/>
      <c r="P232" s="30"/>
      <c r="Q232" s="47"/>
    </row>
    <row r="233" spans="1:19" s="49" customFormat="1" ht="30.6" x14ac:dyDescent="0.2">
      <c r="A233" s="141"/>
      <c r="B233" s="141" t="s">
        <v>239</v>
      </c>
      <c r="C233" s="162"/>
      <c r="D233" s="61" t="s">
        <v>68</v>
      </c>
      <c r="E233" s="163" t="s">
        <v>69</v>
      </c>
      <c r="F233" s="132"/>
      <c r="G233" s="120"/>
      <c r="H233" s="120"/>
      <c r="I233" s="120"/>
      <c r="J233" s="171"/>
      <c r="K233" s="79"/>
      <c r="L233" s="51"/>
      <c r="M233" s="79"/>
      <c r="N233" s="79"/>
      <c r="O233" s="22"/>
      <c r="P233" s="30"/>
      <c r="Q233" s="47"/>
    </row>
    <row r="234" spans="1:19" x14ac:dyDescent="0.2">
      <c r="A234" s="141"/>
      <c r="B234" s="141"/>
      <c r="C234" s="154"/>
      <c r="D234" s="159"/>
      <c r="E234" s="21" t="s">
        <v>17</v>
      </c>
      <c r="F234" s="147"/>
      <c r="G234" s="147"/>
      <c r="H234" s="156"/>
      <c r="I234" s="156"/>
      <c r="J234" s="166"/>
      <c r="K234" s="147"/>
      <c r="L234" s="157"/>
      <c r="M234" s="158"/>
      <c r="N234" s="147"/>
      <c r="O234" s="147"/>
      <c r="P234" s="147"/>
      <c r="Q234" s="148"/>
    </row>
    <row r="235" spans="1:19" s="49" customFormat="1" ht="20.399999999999999" x14ac:dyDescent="0.2">
      <c r="A235" s="141"/>
      <c r="B235" s="141"/>
      <c r="C235" s="30"/>
      <c r="D235" s="61"/>
      <c r="E235" s="22" t="s">
        <v>314</v>
      </c>
      <c r="F235" s="132">
        <v>18</v>
      </c>
      <c r="G235" s="120"/>
      <c r="H235" s="120"/>
      <c r="I235" s="120"/>
      <c r="J235" s="172"/>
      <c r="K235" s="79">
        <f>ROUND(PRODUCT(F235:I235),2)</f>
        <v>18</v>
      </c>
      <c r="L235" s="22"/>
      <c r="M235" s="79"/>
      <c r="N235" s="79"/>
      <c r="O235" s="22"/>
      <c r="P235" s="22"/>
      <c r="Q235" s="47"/>
    </row>
    <row r="236" spans="1:19" s="49" customFormat="1" x14ac:dyDescent="0.2">
      <c r="A236" s="141"/>
      <c r="B236" s="141"/>
      <c r="C236" s="30"/>
      <c r="D236" s="61"/>
      <c r="E236" s="22" t="s">
        <v>79</v>
      </c>
      <c r="F236" s="132"/>
      <c r="G236" s="120"/>
      <c r="H236" s="120"/>
      <c r="I236" s="120"/>
      <c r="J236" s="172" t="s">
        <v>70</v>
      </c>
      <c r="K236" s="79">
        <f>ROUND(SUM(K233:K235),2)</f>
        <v>18</v>
      </c>
      <c r="L236" s="51">
        <v>134.19</v>
      </c>
      <c r="M236" s="79">
        <f>ROUND(PRODUCT(K236:L236),2)</f>
        <v>2415.42</v>
      </c>
      <c r="N236" s="79"/>
      <c r="O236" s="22">
        <v>2.68</v>
      </c>
      <c r="P236" s="22">
        <f>O236*K236</f>
        <v>48.24</v>
      </c>
      <c r="Q236" s="47"/>
    </row>
    <row r="237" spans="1:19" customFormat="1" x14ac:dyDescent="0.2">
      <c r="A237" s="141"/>
      <c r="B237" s="141"/>
      <c r="C237" s="159"/>
      <c r="D237" s="174"/>
      <c r="E237" s="30" t="s">
        <v>82</v>
      </c>
      <c r="F237" s="147"/>
      <c r="G237" s="147"/>
      <c r="H237" s="156"/>
      <c r="I237" s="156"/>
      <c r="J237" s="175"/>
      <c r="K237" s="176"/>
      <c r="L237" s="177"/>
      <c r="M237" s="178"/>
      <c r="N237" s="146"/>
      <c r="O237" s="143"/>
      <c r="P237" s="147">
        <f t="shared" ref="P237:P246" si="9">O237*K237</f>
        <v>0</v>
      </c>
      <c r="Q237" s="148"/>
      <c r="R237" s="179"/>
      <c r="S237" s="2"/>
    </row>
    <row r="238" spans="1:19" customFormat="1" ht="71.400000000000006" x14ac:dyDescent="0.2">
      <c r="A238" s="141">
        <v>119</v>
      </c>
      <c r="B238" s="141" t="s">
        <v>240</v>
      </c>
      <c r="C238" s="159" t="s">
        <v>135</v>
      </c>
      <c r="D238" s="159" t="s">
        <v>135</v>
      </c>
      <c r="E238" s="21" t="s">
        <v>136</v>
      </c>
      <c r="F238" s="147"/>
      <c r="G238" s="147"/>
      <c r="H238" s="156"/>
      <c r="I238" s="156"/>
      <c r="J238" s="175"/>
      <c r="K238" s="176"/>
      <c r="L238" s="177"/>
      <c r="M238" s="178"/>
      <c r="N238" s="146"/>
      <c r="O238" s="143"/>
      <c r="P238" s="147">
        <f t="shared" si="9"/>
        <v>0</v>
      </c>
      <c r="Q238" s="148"/>
      <c r="R238" s="179"/>
      <c r="S238" s="2"/>
    </row>
    <row r="239" spans="1:19" customFormat="1" x14ac:dyDescent="0.2">
      <c r="A239" s="141"/>
      <c r="B239" s="141"/>
      <c r="C239" s="159"/>
      <c r="D239" s="174"/>
      <c r="E239" s="21" t="s">
        <v>17</v>
      </c>
      <c r="F239" s="147"/>
      <c r="G239" s="147"/>
      <c r="H239" s="156"/>
      <c r="I239" s="156"/>
      <c r="J239" s="175"/>
      <c r="K239" s="176"/>
      <c r="L239" s="177"/>
      <c r="M239" s="178"/>
      <c r="N239" s="146"/>
      <c r="O239" s="143"/>
      <c r="P239" s="147">
        <f t="shared" si="9"/>
        <v>0</v>
      </c>
      <c r="Q239" s="148"/>
      <c r="R239" s="179"/>
      <c r="S239" s="2"/>
    </row>
    <row r="240" spans="1:19" s="200" customFormat="1" x14ac:dyDescent="0.2">
      <c r="A240" s="141"/>
      <c r="B240" s="141"/>
      <c r="C240" s="21"/>
      <c r="D240" s="207"/>
      <c r="E240" s="30" t="s">
        <v>139</v>
      </c>
      <c r="F240" s="30"/>
      <c r="G240" s="30">
        <v>15</v>
      </c>
      <c r="H240" s="202"/>
      <c r="I240" s="202"/>
      <c r="J240" s="31"/>
      <c r="K240" s="203">
        <v>15</v>
      </c>
      <c r="L240" s="204"/>
      <c r="M240" s="205"/>
      <c r="N240" s="206"/>
      <c r="O240" s="22"/>
      <c r="P240" s="30">
        <f t="shared" si="9"/>
        <v>0</v>
      </c>
      <c r="Q240" s="47"/>
      <c r="R240" s="199"/>
      <c r="S240" s="49"/>
    </row>
    <row r="241" spans="1:19" customFormat="1" x14ac:dyDescent="0.2">
      <c r="A241" s="141"/>
      <c r="B241" s="141"/>
      <c r="C241" s="159"/>
      <c r="D241" s="174"/>
      <c r="E241" s="30" t="s">
        <v>74</v>
      </c>
      <c r="F241" s="147"/>
      <c r="G241" s="147"/>
      <c r="H241" s="156"/>
      <c r="I241" s="156"/>
      <c r="J241" s="31" t="s">
        <v>75</v>
      </c>
      <c r="K241" s="176">
        <f>ROUND(SUM(K239:K240),2)</f>
        <v>15</v>
      </c>
      <c r="L241" s="51">
        <v>20.350000000000001</v>
      </c>
      <c r="M241" s="79">
        <f>ROUND(PRODUCT(K241:L241),2)</f>
        <v>305.25</v>
      </c>
      <c r="N241" s="146"/>
      <c r="O241" s="143">
        <v>0.46</v>
      </c>
      <c r="P241" s="147">
        <f t="shared" si="9"/>
        <v>6.9</v>
      </c>
      <c r="Q241" s="148"/>
      <c r="R241" s="179"/>
      <c r="S241" s="2"/>
    </row>
    <row r="242" spans="1:19" customFormat="1" x14ac:dyDescent="0.2">
      <c r="A242" s="141"/>
      <c r="B242" s="141"/>
      <c r="C242" s="159"/>
      <c r="D242" s="174"/>
      <c r="E242" s="30" t="s">
        <v>82</v>
      </c>
      <c r="F242" s="147"/>
      <c r="G242" s="147"/>
      <c r="H242" s="156"/>
      <c r="I242" s="156"/>
      <c r="J242" s="175"/>
      <c r="K242" s="176"/>
      <c r="L242" s="51"/>
      <c r="M242" s="79"/>
      <c r="N242" s="146"/>
      <c r="O242" s="143"/>
      <c r="P242" s="147">
        <f t="shared" si="9"/>
        <v>0</v>
      </c>
      <c r="Q242" s="148"/>
      <c r="R242" s="179"/>
      <c r="S242" s="2"/>
    </row>
    <row r="243" spans="1:19" customFormat="1" ht="71.400000000000006" x14ac:dyDescent="0.2">
      <c r="A243" s="141">
        <v>120</v>
      </c>
      <c r="B243" s="141" t="s">
        <v>241</v>
      </c>
      <c r="C243" s="159" t="s">
        <v>137</v>
      </c>
      <c r="D243" s="159" t="s">
        <v>137</v>
      </c>
      <c r="E243" s="21" t="s">
        <v>138</v>
      </c>
      <c r="F243" s="147"/>
      <c r="G243" s="147"/>
      <c r="H243" s="156"/>
      <c r="I243" s="156"/>
      <c r="J243" s="175"/>
      <c r="K243" s="176"/>
      <c r="L243" s="51"/>
      <c r="M243" s="79"/>
      <c r="N243" s="146"/>
      <c r="O243" s="143"/>
      <c r="P243" s="147">
        <f t="shared" si="9"/>
        <v>0</v>
      </c>
      <c r="Q243" s="148"/>
      <c r="R243" s="179"/>
      <c r="S243" s="2"/>
    </row>
    <row r="244" spans="1:19" customFormat="1" x14ac:dyDescent="0.2">
      <c r="A244" s="141"/>
      <c r="B244" s="141"/>
      <c r="C244" s="159"/>
      <c r="D244" s="174"/>
      <c r="E244" s="21" t="s">
        <v>17</v>
      </c>
      <c r="F244" s="147"/>
      <c r="G244" s="147"/>
      <c r="H244" s="156"/>
      <c r="I244" s="156"/>
      <c r="J244" s="175"/>
      <c r="K244" s="176"/>
      <c r="L244" s="51"/>
      <c r="M244" s="79"/>
      <c r="N244" s="146"/>
      <c r="O244" s="143"/>
      <c r="P244" s="147">
        <f t="shared" si="9"/>
        <v>0</v>
      </c>
      <c r="Q244" s="148"/>
      <c r="R244" s="179"/>
      <c r="S244" s="2"/>
    </row>
    <row r="245" spans="1:19" s="200" customFormat="1" x14ac:dyDescent="0.2">
      <c r="A245" s="141"/>
      <c r="B245" s="141"/>
      <c r="C245" s="21"/>
      <c r="D245" s="207"/>
      <c r="E245" s="30" t="s">
        <v>139</v>
      </c>
      <c r="F245" s="30"/>
      <c r="G245" s="30">
        <v>40</v>
      </c>
      <c r="H245" s="202"/>
      <c r="I245" s="202"/>
      <c r="J245" s="31"/>
      <c r="K245" s="203">
        <v>40</v>
      </c>
      <c r="L245" s="51"/>
      <c r="M245" s="79"/>
      <c r="N245" s="206"/>
      <c r="O245" s="22"/>
      <c r="P245" s="30">
        <f t="shared" si="9"/>
        <v>0</v>
      </c>
      <c r="Q245" s="47"/>
      <c r="R245" s="199"/>
      <c r="S245" s="49"/>
    </row>
    <row r="246" spans="1:19" customFormat="1" x14ac:dyDescent="0.2">
      <c r="A246" s="141"/>
      <c r="B246" s="141"/>
      <c r="C246" s="159"/>
      <c r="D246" s="174"/>
      <c r="E246" s="30" t="s">
        <v>74</v>
      </c>
      <c r="F246" s="147"/>
      <c r="G246" s="147"/>
      <c r="H246" s="156"/>
      <c r="I246" s="156"/>
      <c r="J246" s="31" t="s">
        <v>75</v>
      </c>
      <c r="K246" s="176">
        <f>ROUND(SUM(K244:K245),2)</f>
        <v>40</v>
      </c>
      <c r="L246" s="51">
        <v>15.41</v>
      </c>
      <c r="M246" s="79">
        <f>ROUND(PRODUCT(K246:L246),2)</f>
        <v>616.4</v>
      </c>
      <c r="N246" s="146"/>
      <c r="O246" s="143">
        <v>0.35</v>
      </c>
      <c r="P246" s="147">
        <f t="shared" si="9"/>
        <v>14</v>
      </c>
      <c r="Q246" s="148"/>
      <c r="R246" s="179"/>
      <c r="S246" s="2"/>
    </row>
    <row r="247" spans="1:19" x14ac:dyDescent="0.2">
      <c r="A247" s="141"/>
      <c r="B247" s="141"/>
      <c r="C247" s="154"/>
      <c r="D247" s="159"/>
      <c r="E247" s="30"/>
      <c r="F247" s="147"/>
      <c r="G247" s="147"/>
      <c r="H247" s="156"/>
      <c r="I247" s="156"/>
      <c r="J247" s="170"/>
      <c r="K247" s="147"/>
      <c r="L247" s="157"/>
      <c r="M247" s="158"/>
      <c r="N247" s="147"/>
      <c r="O247" s="147"/>
      <c r="P247" s="147"/>
      <c r="Q247" s="148"/>
    </row>
    <row r="248" spans="1:19" ht="40.799999999999997" x14ac:dyDescent="0.2">
      <c r="A248" s="141"/>
      <c r="B248" s="141" t="s">
        <v>242</v>
      </c>
      <c r="C248" s="154">
        <v>2</v>
      </c>
      <c r="D248" s="21" t="s">
        <v>165</v>
      </c>
      <c r="E248" s="21" t="s">
        <v>166</v>
      </c>
      <c r="F248" s="176"/>
      <c r="G248" s="147"/>
      <c r="H248" s="156"/>
      <c r="I248" s="156"/>
      <c r="J248" s="166"/>
      <c r="K248" s="147"/>
      <c r="L248" s="157"/>
      <c r="M248" s="158"/>
      <c r="N248" s="147"/>
      <c r="O248" s="147"/>
      <c r="P248" s="147"/>
      <c r="Q248" s="148"/>
    </row>
    <row r="249" spans="1:19" x14ac:dyDescent="0.2">
      <c r="A249" s="141"/>
      <c r="B249" s="141"/>
      <c r="C249" s="154"/>
      <c r="D249" s="159"/>
      <c r="E249" s="21" t="s">
        <v>17</v>
      </c>
      <c r="F249" s="147"/>
      <c r="G249" s="147"/>
      <c r="H249" s="156"/>
      <c r="I249" s="156"/>
      <c r="J249" s="166"/>
      <c r="K249" s="147"/>
      <c r="L249" s="157"/>
      <c r="M249" s="158"/>
      <c r="N249" s="147"/>
      <c r="O249" s="147"/>
      <c r="P249" s="147"/>
      <c r="Q249" s="148"/>
    </row>
    <row r="250" spans="1:19" x14ac:dyDescent="0.2">
      <c r="A250" s="141"/>
      <c r="B250" s="141"/>
      <c r="C250" s="154"/>
      <c r="D250" s="159"/>
      <c r="E250" s="192" t="s">
        <v>167</v>
      </c>
      <c r="G250" s="180">
        <v>-38</v>
      </c>
      <c r="H250" s="156"/>
      <c r="I250" s="156"/>
      <c r="J250" s="169"/>
      <c r="K250" s="147">
        <f>ROUND(PRODUCT(G250:I250),2)</f>
        <v>-38</v>
      </c>
      <c r="L250" s="157"/>
      <c r="M250" s="158"/>
      <c r="N250" s="147"/>
      <c r="O250" s="147"/>
      <c r="P250" s="147"/>
      <c r="Q250" s="148"/>
    </row>
    <row r="251" spans="1:19" x14ac:dyDescent="0.2">
      <c r="A251" s="141"/>
      <c r="B251" s="141"/>
      <c r="C251" s="154"/>
      <c r="D251" s="159"/>
      <c r="E251" s="30" t="s">
        <v>79</v>
      </c>
      <c r="F251" s="147"/>
      <c r="G251" s="147"/>
      <c r="H251" s="156"/>
      <c r="I251" s="156"/>
      <c r="J251" s="167" t="s">
        <v>70</v>
      </c>
      <c r="K251" s="197">
        <f>ROUND(SUM(K249:K250),2)</f>
        <v>-38</v>
      </c>
      <c r="L251" s="259">
        <v>11.84</v>
      </c>
      <c r="M251" s="262">
        <f>ROUND(PRODUCT(K251:L251),2)</f>
        <v>-449.92</v>
      </c>
      <c r="N251" s="180"/>
      <c r="O251" s="180">
        <v>0.28000000000000003</v>
      </c>
      <c r="P251" s="180">
        <f>O251*K251</f>
        <v>-10.64</v>
      </c>
      <c r="Q251" s="261"/>
    </row>
    <row r="252" spans="1:19" x14ac:dyDescent="0.2">
      <c r="A252" s="141"/>
      <c r="B252" s="141"/>
      <c r="C252" s="154"/>
      <c r="D252" s="159"/>
      <c r="E252" s="30"/>
      <c r="F252" s="147"/>
      <c r="G252" s="147"/>
      <c r="H252" s="156"/>
      <c r="I252" s="156"/>
      <c r="J252" s="170"/>
      <c r="K252" s="147"/>
      <c r="L252" s="157"/>
      <c r="M252" s="158"/>
      <c r="N252" s="147"/>
      <c r="O252" s="147"/>
      <c r="P252" s="147"/>
      <c r="Q252" s="148"/>
    </row>
    <row r="253" spans="1:19" ht="40.799999999999997" x14ac:dyDescent="0.2">
      <c r="A253" s="141"/>
      <c r="B253" s="141" t="s">
        <v>243</v>
      </c>
      <c r="C253" s="154">
        <v>2</v>
      </c>
      <c r="D253" s="21" t="s">
        <v>168</v>
      </c>
      <c r="E253" s="21" t="s">
        <v>169</v>
      </c>
      <c r="F253" s="147"/>
      <c r="G253" s="147"/>
      <c r="H253" s="156"/>
      <c r="I253" s="156"/>
      <c r="J253" s="166"/>
      <c r="K253" s="147"/>
      <c r="L253" s="157"/>
      <c r="M253" s="158"/>
      <c r="N253" s="147"/>
      <c r="O253" s="147"/>
      <c r="P253" s="147"/>
      <c r="Q253" s="148"/>
    </row>
    <row r="254" spans="1:19" x14ac:dyDescent="0.2">
      <c r="A254" s="141"/>
      <c r="B254" s="141"/>
      <c r="C254" s="154"/>
      <c r="D254" s="159"/>
      <c r="E254" s="21" t="s">
        <v>17</v>
      </c>
      <c r="F254" s="147"/>
      <c r="G254" s="147"/>
      <c r="H254" s="156"/>
      <c r="I254" s="156"/>
      <c r="J254" s="166"/>
      <c r="K254" s="147"/>
      <c r="L254" s="157"/>
      <c r="M254" s="158"/>
      <c r="N254" s="147"/>
      <c r="O254" s="147"/>
      <c r="P254" s="147"/>
      <c r="Q254" s="148"/>
    </row>
    <row r="255" spans="1:19" x14ac:dyDescent="0.2">
      <c r="A255" s="141"/>
      <c r="B255" s="141"/>
      <c r="C255" s="154"/>
      <c r="D255" s="159"/>
      <c r="E255" s="21" t="s">
        <v>170</v>
      </c>
      <c r="G255" s="147">
        <v>60</v>
      </c>
      <c r="H255" s="156"/>
      <c r="I255" s="156"/>
      <c r="J255" s="169"/>
      <c r="K255" s="147">
        <f>ROUND(PRODUCT(G255:I255),2)</f>
        <v>60</v>
      </c>
      <c r="L255" s="157"/>
      <c r="M255" s="158"/>
      <c r="N255" s="147"/>
      <c r="O255" s="147"/>
      <c r="P255" s="147"/>
      <c r="Q255" s="148"/>
    </row>
    <row r="256" spans="1:19" x14ac:dyDescent="0.2">
      <c r="A256" s="141"/>
      <c r="B256" s="141"/>
      <c r="C256" s="154"/>
      <c r="D256" s="159"/>
      <c r="E256" s="30" t="s">
        <v>79</v>
      </c>
      <c r="F256" s="147"/>
      <c r="G256" s="147"/>
      <c r="H256" s="156"/>
      <c r="I256" s="156"/>
      <c r="J256" s="167" t="s">
        <v>70</v>
      </c>
      <c r="K256" s="147">
        <f>ROUND(SUM(K254:K255),2)</f>
        <v>60</v>
      </c>
      <c r="L256" s="157">
        <v>7.64</v>
      </c>
      <c r="M256" s="158">
        <f>ROUND(PRODUCT(K256:L256),2)</f>
        <v>458.4</v>
      </c>
      <c r="N256" s="147"/>
      <c r="O256" s="147">
        <v>0.18</v>
      </c>
      <c r="P256" s="147">
        <f>O256*K256</f>
        <v>10.799999999999999</v>
      </c>
      <c r="Q256" s="148"/>
    </row>
    <row r="257" spans="1:17" x14ac:dyDescent="0.2">
      <c r="A257" s="141"/>
      <c r="B257" s="141"/>
      <c r="C257" s="154"/>
      <c r="D257" s="159"/>
      <c r="E257" s="30"/>
      <c r="F257" s="147"/>
      <c r="G257" s="147"/>
      <c r="H257" s="156"/>
      <c r="I257" s="156"/>
      <c r="J257" s="170"/>
      <c r="K257" s="147"/>
      <c r="L257" s="157"/>
      <c r="M257" s="158"/>
      <c r="N257" s="147"/>
      <c r="O257" s="147"/>
      <c r="P257" s="147"/>
      <c r="Q257" s="148"/>
    </row>
    <row r="258" spans="1:17" ht="51" x14ac:dyDescent="0.2">
      <c r="A258" s="141"/>
      <c r="B258" s="141" t="s">
        <v>244</v>
      </c>
      <c r="C258" s="154">
        <v>2</v>
      </c>
      <c r="D258" s="21" t="s">
        <v>171</v>
      </c>
      <c r="E258" s="21" t="s">
        <v>172</v>
      </c>
      <c r="F258" s="147"/>
      <c r="G258" s="147"/>
      <c r="H258" s="156"/>
      <c r="I258" s="156"/>
      <c r="J258" s="166"/>
      <c r="K258" s="147"/>
      <c r="L258" s="157"/>
      <c r="M258" s="158"/>
      <c r="N258" s="147"/>
      <c r="O258" s="147"/>
      <c r="P258" s="147"/>
      <c r="Q258" s="148"/>
    </row>
    <row r="259" spans="1:17" x14ac:dyDescent="0.2">
      <c r="A259" s="141"/>
      <c r="B259" s="141"/>
      <c r="C259" s="154"/>
      <c r="D259" s="159"/>
      <c r="E259" s="21" t="s">
        <v>17</v>
      </c>
      <c r="F259" s="147"/>
      <c r="G259" s="147"/>
      <c r="H259" s="156"/>
      <c r="I259" s="156"/>
      <c r="J259" s="166"/>
      <c r="K259" s="147"/>
      <c r="L259" s="157"/>
      <c r="M259" s="158"/>
      <c r="N259" s="147"/>
      <c r="O259" s="147"/>
      <c r="P259" s="147"/>
      <c r="Q259" s="148"/>
    </row>
    <row r="260" spans="1:17" x14ac:dyDescent="0.2">
      <c r="A260" s="141"/>
      <c r="B260" s="141"/>
      <c r="C260" s="154"/>
      <c r="D260" s="159"/>
      <c r="E260" s="192" t="s">
        <v>167</v>
      </c>
      <c r="G260" s="180">
        <v>-5</v>
      </c>
      <c r="H260" s="156"/>
      <c r="I260" s="156"/>
      <c r="J260" s="169"/>
      <c r="K260" s="147">
        <f>ROUND(PRODUCT(G260:I260),2)</f>
        <v>-5</v>
      </c>
      <c r="L260" s="157"/>
      <c r="M260" s="158"/>
      <c r="N260" s="147"/>
      <c r="O260" s="147"/>
      <c r="P260" s="147"/>
      <c r="Q260" s="148"/>
    </row>
    <row r="261" spans="1:17" x14ac:dyDescent="0.2">
      <c r="A261" s="141"/>
      <c r="B261" s="141"/>
      <c r="C261" s="154"/>
      <c r="D261" s="159"/>
      <c r="E261" s="30" t="s">
        <v>79</v>
      </c>
      <c r="F261" s="147"/>
      <c r="G261" s="147"/>
      <c r="H261" s="156"/>
      <c r="I261" s="156"/>
      <c r="J261" s="167" t="s">
        <v>70</v>
      </c>
      <c r="K261" s="180">
        <f>ROUND(SUM(K259:K260),2)</f>
        <v>-5</v>
      </c>
      <c r="L261" s="259">
        <v>201.21</v>
      </c>
      <c r="M261" s="263">
        <f>ROUND(PRODUCT(K261:L261),2)</f>
        <v>-1006.05</v>
      </c>
      <c r="N261" s="180"/>
      <c r="O261" s="180">
        <v>0.51</v>
      </c>
      <c r="P261" s="180">
        <f>O261*K261</f>
        <v>-2.5499999999999998</v>
      </c>
      <c r="Q261" s="261"/>
    </row>
    <row r="262" spans="1:17" x14ac:dyDescent="0.2">
      <c r="A262" s="141"/>
      <c r="B262" s="141"/>
      <c r="C262" s="154"/>
      <c r="D262" s="159"/>
      <c r="E262" s="30"/>
      <c r="F262" s="147"/>
      <c r="G262" s="147"/>
      <c r="H262" s="156"/>
      <c r="I262" s="156"/>
      <c r="J262" s="170"/>
      <c r="K262" s="147"/>
      <c r="L262" s="157"/>
      <c r="M262" s="158"/>
      <c r="N262" s="147"/>
      <c r="O262" s="147"/>
      <c r="P262" s="147"/>
      <c r="Q262" s="148"/>
    </row>
    <row r="263" spans="1:17" ht="51" x14ac:dyDescent="0.2">
      <c r="A263" s="141"/>
      <c r="B263" s="141" t="s">
        <v>245</v>
      </c>
      <c r="C263" s="154">
        <v>2</v>
      </c>
      <c r="D263" s="21" t="s">
        <v>173</v>
      </c>
      <c r="E263" s="249" t="s">
        <v>174</v>
      </c>
      <c r="F263" s="147"/>
      <c r="G263" s="147"/>
      <c r="H263" s="156"/>
      <c r="I263" s="156"/>
      <c r="J263" s="166"/>
      <c r="K263" s="147"/>
      <c r="L263" s="157"/>
      <c r="M263" s="158"/>
      <c r="N263" s="147"/>
      <c r="O263" s="147"/>
      <c r="P263" s="147"/>
      <c r="Q263" s="148"/>
    </row>
    <row r="264" spans="1:17" x14ac:dyDescent="0.2">
      <c r="A264" s="141"/>
      <c r="B264" s="141"/>
      <c r="C264" s="154"/>
      <c r="D264" s="159"/>
      <c r="E264" s="21" t="s">
        <v>17</v>
      </c>
      <c r="F264" s="147"/>
      <c r="G264" s="147"/>
      <c r="H264" s="156"/>
      <c r="I264" s="156"/>
      <c r="J264" s="166"/>
      <c r="K264" s="147"/>
      <c r="L264" s="157"/>
      <c r="M264" s="158"/>
      <c r="N264" s="147"/>
      <c r="O264" s="147"/>
      <c r="P264" s="147"/>
      <c r="Q264" s="148"/>
    </row>
    <row r="265" spans="1:17" x14ac:dyDescent="0.2">
      <c r="A265" s="141"/>
      <c r="B265" s="141"/>
      <c r="C265" s="154"/>
      <c r="D265" s="159"/>
      <c r="E265" s="21" t="s">
        <v>170</v>
      </c>
      <c r="G265" s="147">
        <v>26</v>
      </c>
      <c r="H265" s="156"/>
      <c r="I265" s="156"/>
      <c r="J265" s="169"/>
      <c r="K265" s="147">
        <f>ROUND(PRODUCT(G265:I265),2)</f>
        <v>26</v>
      </c>
      <c r="L265" s="157"/>
      <c r="M265" s="158"/>
      <c r="N265" s="147"/>
      <c r="O265" s="147"/>
      <c r="P265" s="147"/>
      <c r="Q265" s="148"/>
    </row>
    <row r="266" spans="1:17" x14ac:dyDescent="0.2">
      <c r="A266" s="141"/>
      <c r="B266" s="141"/>
      <c r="C266" s="154"/>
      <c r="D266" s="159"/>
      <c r="E266" s="30" t="s">
        <v>79</v>
      </c>
      <c r="F266" s="147"/>
      <c r="G266" s="147"/>
      <c r="H266" s="156"/>
      <c r="I266" s="156"/>
      <c r="J266" s="167" t="s">
        <v>70</v>
      </c>
      <c r="K266" s="147">
        <f>ROUND(SUM(K264:K265),2)</f>
        <v>26</v>
      </c>
      <c r="L266" s="157">
        <v>10.42</v>
      </c>
      <c r="M266" s="158">
        <f>ROUND(PRODUCT(K266:L266),2)</f>
        <v>270.92</v>
      </c>
      <c r="N266" s="147"/>
      <c r="O266" s="147">
        <v>0.3</v>
      </c>
      <c r="P266" s="147">
        <f>O266*K266</f>
        <v>7.8</v>
      </c>
      <c r="Q266" s="148"/>
    </row>
    <row r="267" spans="1:17" x14ac:dyDescent="0.2">
      <c r="A267" s="141"/>
      <c r="B267" s="141"/>
      <c r="C267" s="154"/>
      <c r="D267" s="159"/>
      <c r="E267" s="30"/>
      <c r="F267" s="147"/>
      <c r="G267" s="147"/>
      <c r="H267" s="156"/>
      <c r="I267" s="156"/>
      <c r="J267" s="170"/>
      <c r="K267" s="147"/>
      <c r="L267" s="157"/>
      <c r="M267" s="158"/>
      <c r="N267" s="147"/>
      <c r="O267" s="147"/>
      <c r="P267" s="147"/>
      <c r="Q267" s="148"/>
    </row>
    <row r="268" spans="1:17" ht="61.2" x14ac:dyDescent="0.2">
      <c r="A268" s="141"/>
      <c r="B268" s="141" t="s">
        <v>246</v>
      </c>
      <c r="C268" s="154">
        <v>2</v>
      </c>
      <c r="D268" s="21" t="s">
        <v>175</v>
      </c>
      <c r="E268" s="21" t="s">
        <v>176</v>
      </c>
      <c r="F268" s="147"/>
      <c r="G268" s="147"/>
      <c r="H268" s="156"/>
      <c r="I268" s="156"/>
      <c r="J268" s="166"/>
      <c r="K268" s="147"/>
      <c r="L268" s="157"/>
      <c r="M268" s="158"/>
      <c r="N268" s="147"/>
      <c r="O268" s="147"/>
      <c r="P268" s="147"/>
      <c r="Q268" s="148"/>
    </row>
    <row r="269" spans="1:17" x14ac:dyDescent="0.2">
      <c r="A269" s="141"/>
      <c r="B269" s="141"/>
      <c r="C269" s="154"/>
      <c r="D269" s="159"/>
      <c r="E269" s="21" t="s">
        <v>17</v>
      </c>
      <c r="F269" s="147"/>
      <c r="G269" s="147"/>
      <c r="H269" s="156"/>
      <c r="I269" s="156"/>
      <c r="J269" s="166"/>
      <c r="K269" s="147"/>
      <c r="L269" s="157"/>
      <c r="M269" s="158"/>
      <c r="N269" s="147"/>
      <c r="O269" s="147"/>
      <c r="P269" s="147"/>
      <c r="Q269" s="148"/>
    </row>
    <row r="270" spans="1:17" x14ac:dyDescent="0.2">
      <c r="A270" s="141"/>
      <c r="B270" s="141"/>
      <c r="C270" s="154"/>
      <c r="D270" s="159"/>
      <c r="E270" s="192" t="s">
        <v>167</v>
      </c>
      <c r="G270" s="180">
        <v>-118.5</v>
      </c>
      <c r="H270" s="156"/>
      <c r="I270" s="156"/>
      <c r="J270" s="169"/>
      <c r="K270" s="147">
        <f>ROUND(PRODUCT(G270:I270),2)</f>
        <v>-118.5</v>
      </c>
      <c r="L270" s="157"/>
      <c r="M270" s="158"/>
      <c r="N270" s="147"/>
      <c r="O270" s="147"/>
      <c r="P270" s="147"/>
      <c r="Q270" s="148"/>
    </row>
    <row r="271" spans="1:17" x14ac:dyDescent="0.2">
      <c r="A271" s="141"/>
      <c r="B271" s="141"/>
      <c r="C271" s="154"/>
      <c r="D271" s="159"/>
      <c r="E271" s="30" t="s">
        <v>74</v>
      </c>
      <c r="F271" s="147"/>
      <c r="G271" s="147"/>
      <c r="H271" s="156"/>
      <c r="I271" s="156"/>
      <c r="J271" s="167" t="s">
        <v>75</v>
      </c>
      <c r="K271" s="180">
        <f>ROUND(SUM(K269:K270),2)</f>
        <v>-118.5</v>
      </c>
      <c r="L271" s="259">
        <v>17.73</v>
      </c>
      <c r="M271" s="263">
        <f>ROUND(PRODUCT(K271:L271),2)</f>
        <v>-2101.0100000000002</v>
      </c>
      <c r="N271" s="180"/>
      <c r="O271" s="180">
        <v>0.43</v>
      </c>
      <c r="P271" s="180">
        <f>O271*K271</f>
        <v>-50.954999999999998</v>
      </c>
      <c r="Q271" s="148"/>
    </row>
    <row r="272" spans="1:17" x14ac:dyDescent="0.2">
      <c r="A272" s="141"/>
      <c r="B272" s="141"/>
      <c r="C272" s="154"/>
      <c r="D272" s="159"/>
      <c r="E272" s="30"/>
      <c r="F272" s="147"/>
      <c r="G272" s="147"/>
      <c r="H272" s="156"/>
      <c r="I272" s="156"/>
      <c r="J272" s="170"/>
      <c r="K272" s="147"/>
      <c r="L272" s="157"/>
      <c r="M272" s="158"/>
      <c r="N272" s="147"/>
      <c r="O272" s="147"/>
      <c r="P272" s="147"/>
      <c r="Q272" s="148"/>
    </row>
    <row r="273" spans="1:19" ht="61.2" x14ac:dyDescent="0.2">
      <c r="A273" s="141"/>
      <c r="B273" s="141" t="s">
        <v>247</v>
      </c>
      <c r="C273" s="154">
        <v>2</v>
      </c>
      <c r="D273" s="21" t="s">
        <v>177</v>
      </c>
      <c r="E273" s="265" t="s">
        <v>178</v>
      </c>
      <c r="F273" s="147"/>
      <c r="G273" s="147"/>
      <c r="H273" s="156"/>
      <c r="I273" s="156"/>
      <c r="J273" s="166"/>
      <c r="K273" s="147"/>
      <c r="L273" s="157"/>
      <c r="M273" s="158"/>
      <c r="N273" s="147"/>
      <c r="O273" s="147"/>
      <c r="P273" s="147"/>
      <c r="Q273" s="148"/>
    </row>
    <row r="274" spans="1:19" x14ac:dyDescent="0.2">
      <c r="A274" s="141"/>
      <c r="B274" s="141"/>
      <c r="C274" s="154"/>
      <c r="D274" s="159"/>
      <c r="E274" s="21" t="s">
        <v>17</v>
      </c>
      <c r="F274" s="147"/>
      <c r="G274" s="147"/>
      <c r="H274" s="156"/>
      <c r="I274" s="156"/>
      <c r="J274" s="166"/>
      <c r="K274" s="147"/>
      <c r="L274" s="157"/>
      <c r="M274" s="158"/>
      <c r="N274" s="147"/>
      <c r="O274" s="147"/>
      <c r="P274" s="147"/>
      <c r="Q274" s="148"/>
    </row>
    <row r="275" spans="1:19" x14ac:dyDescent="0.2">
      <c r="A275" s="141"/>
      <c r="B275" s="141"/>
      <c r="C275" s="154"/>
      <c r="D275" s="159"/>
      <c r="E275" s="21" t="s">
        <v>179</v>
      </c>
      <c r="G275" s="147">
        <v>280</v>
      </c>
      <c r="H275" s="156"/>
      <c r="I275" s="156"/>
      <c r="J275" s="169"/>
      <c r="K275" s="147">
        <f>ROUND(PRODUCT(G275:I275),2)</f>
        <v>280</v>
      </c>
      <c r="L275" s="157"/>
      <c r="M275" s="158"/>
      <c r="N275" s="147"/>
      <c r="O275" s="147"/>
      <c r="P275" s="147"/>
      <c r="Q275" s="148"/>
    </row>
    <row r="276" spans="1:19" x14ac:dyDescent="0.2">
      <c r="A276" s="141"/>
      <c r="B276" s="141"/>
      <c r="C276" s="154"/>
      <c r="D276" s="159"/>
      <c r="E276" s="30" t="s">
        <v>74</v>
      </c>
      <c r="F276" s="147"/>
      <c r="G276" s="147"/>
      <c r="H276" s="156"/>
      <c r="I276" s="156"/>
      <c r="J276" s="167" t="s">
        <v>75</v>
      </c>
      <c r="K276" s="147">
        <f>ROUND(SUM(K274:K275),2)</f>
        <v>280</v>
      </c>
      <c r="L276" s="157">
        <v>11.79</v>
      </c>
      <c r="M276" s="264">
        <f>ROUND(PRODUCT(K276:L276),2)</f>
        <v>3301.2</v>
      </c>
      <c r="N276" s="147"/>
      <c r="O276" s="147">
        <v>0.28000000000000003</v>
      </c>
      <c r="P276" s="147">
        <f>O276*K276</f>
        <v>78.400000000000006</v>
      </c>
      <c r="Q276" s="148"/>
    </row>
    <row r="277" spans="1:19" customFormat="1" x14ac:dyDescent="0.2">
      <c r="A277" s="141"/>
      <c r="B277" s="141"/>
      <c r="C277" s="159"/>
      <c r="D277" s="174"/>
      <c r="E277" s="30"/>
      <c r="F277" s="147"/>
      <c r="G277" s="147"/>
      <c r="H277" s="156"/>
      <c r="I277" s="156"/>
      <c r="J277" s="31"/>
      <c r="K277" s="176"/>
      <c r="L277" s="51"/>
      <c r="M277" s="79"/>
      <c r="N277" s="146"/>
      <c r="O277" s="143"/>
      <c r="P277" s="147"/>
      <c r="Q277" s="148"/>
      <c r="R277" s="179"/>
      <c r="S277" s="2"/>
    </row>
    <row r="278" spans="1:19" ht="61.2" x14ac:dyDescent="0.2">
      <c r="A278" s="141"/>
      <c r="B278" s="141" t="s">
        <v>248</v>
      </c>
      <c r="C278" s="154">
        <v>2</v>
      </c>
      <c r="D278" s="21" t="s">
        <v>180</v>
      </c>
      <c r="E278" s="265" t="s">
        <v>181</v>
      </c>
      <c r="F278" s="147"/>
      <c r="G278" s="147"/>
      <c r="H278" s="156"/>
      <c r="I278" s="156"/>
      <c r="J278" s="166"/>
      <c r="K278" s="147"/>
      <c r="L278" s="157"/>
      <c r="M278" s="158"/>
      <c r="N278" s="147"/>
      <c r="O278" s="147"/>
      <c r="P278" s="147"/>
      <c r="Q278" s="148"/>
    </row>
    <row r="279" spans="1:19" x14ac:dyDescent="0.2">
      <c r="A279" s="141"/>
      <c r="B279" s="141"/>
      <c r="C279" s="154"/>
      <c r="D279" s="159"/>
      <c r="E279" s="21" t="s">
        <v>17</v>
      </c>
      <c r="F279" s="147"/>
      <c r="G279" s="147"/>
      <c r="H279" s="156"/>
      <c r="I279" s="156"/>
      <c r="J279" s="166"/>
      <c r="K279" s="147"/>
      <c r="L279" s="157"/>
      <c r="M279" s="158"/>
      <c r="N279" s="147"/>
      <c r="O279" s="147"/>
      <c r="P279" s="147"/>
      <c r="Q279" s="148"/>
    </row>
    <row r="280" spans="1:19" x14ac:dyDescent="0.2">
      <c r="A280" s="141"/>
      <c r="B280" s="141"/>
      <c r="C280" s="154"/>
      <c r="D280" s="159"/>
      <c r="E280" s="21" t="s">
        <v>170</v>
      </c>
      <c r="G280" s="147">
        <v>26</v>
      </c>
      <c r="H280" s="156"/>
      <c r="I280" s="156"/>
      <c r="J280" s="169"/>
      <c r="K280" s="147">
        <f>ROUND(PRODUCT(G280:I280),2)</f>
        <v>26</v>
      </c>
      <c r="L280" s="157"/>
      <c r="M280" s="158"/>
      <c r="N280" s="147"/>
      <c r="O280" s="147"/>
      <c r="P280" s="147"/>
      <c r="Q280" s="148"/>
    </row>
    <row r="281" spans="1:19" x14ac:dyDescent="0.2">
      <c r="A281" s="141"/>
      <c r="B281" s="141"/>
      <c r="C281" s="154"/>
      <c r="D281" s="159"/>
      <c r="E281" s="30" t="s">
        <v>79</v>
      </c>
      <c r="F281" s="147"/>
      <c r="G281" s="147"/>
      <c r="H281" s="156"/>
      <c r="I281" s="156"/>
      <c r="J281" s="167" t="s">
        <v>70</v>
      </c>
      <c r="K281" s="147">
        <f>ROUND(SUM(K279:K280),2)</f>
        <v>26</v>
      </c>
      <c r="L281" s="157">
        <v>15.44</v>
      </c>
      <c r="M281" s="158">
        <f>ROUND(PRODUCT(K281:L281),2)</f>
        <v>401.44</v>
      </c>
      <c r="N281" s="147"/>
      <c r="O281" s="147">
        <v>0.37</v>
      </c>
      <c r="P281" s="147">
        <f>O281*K281</f>
        <v>9.6199999999999992</v>
      </c>
      <c r="Q281" s="148"/>
    </row>
    <row r="282" spans="1:19" x14ac:dyDescent="0.2">
      <c r="A282" s="141"/>
      <c r="B282" s="141"/>
      <c r="C282" s="154"/>
      <c r="D282" s="159"/>
      <c r="E282" s="30"/>
      <c r="F282" s="147"/>
      <c r="G282" s="147"/>
      <c r="H282" s="156"/>
      <c r="I282" s="156"/>
      <c r="J282" s="170"/>
      <c r="K282" s="147"/>
      <c r="L282" s="157"/>
      <c r="M282" s="158"/>
      <c r="N282" s="147"/>
      <c r="O282" s="147"/>
      <c r="P282" s="147"/>
      <c r="Q282" s="148"/>
    </row>
    <row r="283" spans="1:19" ht="51" x14ac:dyDescent="0.2">
      <c r="A283" s="141"/>
      <c r="B283" s="141" t="s">
        <v>339</v>
      </c>
      <c r="C283" s="154">
        <v>2</v>
      </c>
      <c r="D283" s="159" t="s">
        <v>249</v>
      </c>
      <c r="E283" s="21" t="s">
        <v>250</v>
      </c>
      <c r="F283" s="147"/>
      <c r="G283" s="147"/>
      <c r="H283" s="156"/>
      <c r="I283" s="156"/>
      <c r="J283" s="166"/>
      <c r="K283" s="147"/>
      <c r="L283" s="157"/>
      <c r="M283" s="158"/>
      <c r="N283" s="147"/>
      <c r="O283" s="147"/>
      <c r="P283" s="147"/>
      <c r="Q283" s="148"/>
    </row>
    <row r="284" spans="1:19" x14ac:dyDescent="0.2">
      <c r="A284" s="141"/>
      <c r="B284" s="141"/>
      <c r="C284" s="154"/>
      <c r="D284" s="159"/>
      <c r="E284" s="21" t="s">
        <v>17</v>
      </c>
      <c r="F284" s="147"/>
      <c r="G284" s="147"/>
      <c r="H284" s="156"/>
      <c r="I284" s="156"/>
      <c r="J284" s="166"/>
      <c r="K284" s="147"/>
      <c r="L284" s="157"/>
      <c r="M284" s="158"/>
      <c r="N284" s="147"/>
      <c r="O284" s="147"/>
      <c r="P284" s="147"/>
      <c r="Q284" s="148"/>
    </row>
    <row r="285" spans="1:19" ht="20.399999999999999" x14ac:dyDescent="0.2">
      <c r="A285" s="141"/>
      <c r="B285" s="141"/>
      <c r="C285" s="154"/>
      <c r="D285" s="159"/>
      <c r="E285" s="255" t="s">
        <v>251</v>
      </c>
      <c r="G285" s="147">
        <v>50</v>
      </c>
      <c r="H285" s="156"/>
      <c r="I285" s="156"/>
      <c r="J285" s="169"/>
      <c r="K285" s="147">
        <f>ROUND(PRODUCT(G285:I285),2)</f>
        <v>50</v>
      </c>
      <c r="L285" s="157"/>
      <c r="M285" s="158"/>
      <c r="N285" s="147"/>
      <c r="O285" s="147"/>
      <c r="P285" s="147"/>
      <c r="Q285" s="148"/>
    </row>
    <row r="286" spans="1:19" x14ac:dyDescent="0.2">
      <c r="A286" s="141"/>
      <c r="B286" s="141"/>
      <c r="C286" s="154"/>
      <c r="D286" s="159"/>
      <c r="E286" s="30" t="s">
        <v>74</v>
      </c>
      <c r="F286" s="147"/>
      <c r="G286" s="147"/>
      <c r="H286" s="156"/>
      <c r="I286" s="156"/>
      <c r="J286" s="167" t="s">
        <v>75</v>
      </c>
      <c r="K286" s="147">
        <f>ROUND(SUM(K284:K285),2)</f>
        <v>50</v>
      </c>
      <c r="L286" s="157">
        <v>33.020000000000003</v>
      </c>
      <c r="M286" s="158">
        <f>ROUND(PRODUCT(K286:L286),2)</f>
        <v>1651</v>
      </c>
      <c r="N286" s="147"/>
      <c r="O286" s="147">
        <v>0.3</v>
      </c>
      <c r="P286" s="147">
        <f>O286*K286</f>
        <v>15</v>
      </c>
      <c r="Q286" s="148"/>
    </row>
    <row r="287" spans="1:19" x14ac:dyDescent="0.2">
      <c r="A287" s="141"/>
      <c r="B287" s="141"/>
      <c r="C287" s="154"/>
      <c r="D287" s="159"/>
      <c r="E287" s="30"/>
      <c r="F287" s="147"/>
      <c r="G287" s="147"/>
      <c r="H287" s="156"/>
      <c r="I287" s="156"/>
      <c r="J287" s="170"/>
      <c r="K287" s="147"/>
      <c r="L287" s="157"/>
      <c r="M287" s="158"/>
      <c r="N287" s="147"/>
      <c r="O287" s="147"/>
      <c r="P287" s="147"/>
      <c r="Q287" s="148"/>
    </row>
    <row r="288" spans="1:19" ht="61.2" x14ac:dyDescent="0.2">
      <c r="A288" s="141"/>
      <c r="B288" s="141" t="s">
        <v>340</v>
      </c>
      <c r="C288" s="154">
        <v>2</v>
      </c>
      <c r="D288" s="159" t="s">
        <v>252</v>
      </c>
      <c r="E288" s="21" t="s">
        <v>253</v>
      </c>
      <c r="F288" s="147"/>
      <c r="G288" s="147"/>
      <c r="H288" s="156"/>
      <c r="I288" s="156"/>
      <c r="J288" s="166"/>
      <c r="K288" s="147"/>
      <c r="L288" s="157"/>
      <c r="M288" s="158"/>
      <c r="N288" s="147"/>
      <c r="O288" s="147"/>
      <c r="P288" s="147"/>
      <c r="Q288" s="148"/>
    </row>
    <row r="289" spans="1:19" x14ac:dyDescent="0.2">
      <c r="A289" s="141"/>
      <c r="B289" s="141"/>
      <c r="C289" s="154"/>
      <c r="D289" s="159"/>
      <c r="E289" s="21" t="s">
        <v>17</v>
      </c>
      <c r="F289" s="147"/>
      <c r="G289" s="147"/>
      <c r="H289" s="156"/>
      <c r="I289" s="156"/>
      <c r="J289" s="166"/>
      <c r="K289" s="147"/>
      <c r="L289" s="157"/>
      <c r="M289" s="158"/>
      <c r="N289" s="147"/>
      <c r="O289" s="147"/>
      <c r="P289" s="147"/>
      <c r="Q289" s="148"/>
    </row>
    <row r="290" spans="1:19" ht="20.399999999999999" x14ac:dyDescent="0.2">
      <c r="A290" s="141"/>
      <c r="B290" s="141"/>
      <c r="C290" s="154"/>
      <c r="D290" s="159"/>
      <c r="E290" s="255" t="s">
        <v>251</v>
      </c>
      <c r="G290" s="147">
        <v>40</v>
      </c>
      <c r="H290" s="156"/>
      <c r="I290" s="156"/>
      <c r="J290" s="169"/>
      <c r="K290" s="147">
        <f>ROUND(PRODUCT(G290:I290),2)</f>
        <v>40</v>
      </c>
      <c r="L290" s="157"/>
      <c r="M290" s="158"/>
      <c r="N290" s="147"/>
      <c r="O290" s="147"/>
      <c r="P290" s="147"/>
      <c r="Q290" s="148"/>
    </row>
    <row r="291" spans="1:19" x14ac:dyDescent="0.2">
      <c r="A291" s="141"/>
      <c r="B291" s="141"/>
      <c r="C291" s="154"/>
      <c r="D291" s="159"/>
      <c r="E291" s="30" t="s">
        <v>79</v>
      </c>
      <c r="F291" s="147"/>
      <c r="G291" s="147"/>
      <c r="H291" s="156"/>
      <c r="I291" s="156"/>
      <c r="J291" s="167" t="s">
        <v>75</v>
      </c>
      <c r="K291" s="147">
        <f>ROUND(SUM(K289:K290),2)</f>
        <v>40</v>
      </c>
      <c r="L291" s="157">
        <v>11.48</v>
      </c>
      <c r="M291" s="158">
        <f>ROUND(PRODUCT(K291:L291),2)</f>
        <v>459.2</v>
      </c>
      <c r="N291" s="147"/>
      <c r="O291" s="147">
        <v>0.27</v>
      </c>
      <c r="P291" s="147">
        <f>O291*K291</f>
        <v>10.8</v>
      </c>
      <c r="Q291" s="148"/>
    </row>
    <row r="292" spans="1:19" ht="14.4" customHeight="1" x14ac:dyDescent="0.2">
      <c r="A292" s="141"/>
      <c r="B292" s="141"/>
      <c r="C292" s="142"/>
      <c r="D292" s="149"/>
      <c r="E292" s="22"/>
      <c r="F292" s="143"/>
      <c r="G292" s="143"/>
      <c r="H292" s="144"/>
      <c r="I292" s="144"/>
      <c r="J292" s="168"/>
      <c r="K292" s="145"/>
      <c r="L292" s="151"/>
      <c r="M292" s="143"/>
      <c r="N292" s="146"/>
      <c r="O292" s="22"/>
      <c r="P292" s="147"/>
      <c r="Q292" s="148"/>
    </row>
    <row r="293" spans="1:19" s="49" customFormat="1" ht="29.4" customHeight="1" x14ac:dyDescent="0.2">
      <c r="A293" s="141"/>
      <c r="B293" s="297" t="s">
        <v>254</v>
      </c>
      <c r="C293" s="65"/>
      <c r="D293" s="66"/>
      <c r="E293" s="28" t="str">
        <f>CONCATENATE("Totale fase ",E211)</f>
        <v>Totale fase ADEGUAMENTI AREA BAGNI E IMPIANTI IDRICI</v>
      </c>
      <c r="F293" s="134"/>
      <c r="G293" s="118"/>
      <c r="H293" s="118"/>
      <c r="I293" s="118"/>
      <c r="J293" s="67"/>
      <c r="K293" s="81"/>
      <c r="L293" s="68"/>
      <c r="M293" s="92"/>
      <c r="N293" s="99">
        <f>SUM(M212:M292)</f>
        <v>30691.330000000005</v>
      </c>
      <c r="O293" s="69"/>
      <c r="P293" s="70"/>
      <c r="Q293" s="71">
        <f>SUM(P212:P292)</f>
        <v>620.77499999999998</v>
      </c>
    </row>
    <row r="294" spans="1:19" ht="19.2" customHeight="1" x14ac:dyDescent="0.2">
      <c r="B294" s="334"/>
      <c r="C294" s="335"/>
      <c r="D294" s="335"/>
      <c r="E294" s="335"/>
      <c r="F294" s="335"/>
      <c r="G294" s="335"/>
      <c r="H294" s="335"/>
      <c r="I294" s="335"/>
      <c r="J294" s="335"/>
      <c r="K294" s="335"/>
      <c r="L294" s="335"/>
      <c r="M294" s="335"/>
      <c r="N294" s="335"/>
      <c r="O294" s="335"/>
      <c r="P294" s="335"/>
      <c r="Q294" s="336"/>
    </row>
    <row r="295" spans="1:19" s="49" customFormat="1" ht="14.4" customHeight="1" x14ac:dyDescent="0.2">
      <c r="B295" s="141"/>
      <c r="C295" s="27" t="s">
        <v>41</v>
      </c>
      <c r="D295" s="317" t="s">
        <v>375</v>
      </c>
      <c r="E295" s="28" t="s">
        <v>71</v>
      </c>
      <c r="F295" s="134"/>
      <c r="G295" s="118"/>
      <c r="H295" s="118"/>
      <c r="I295" s="118"/>
      <c r="J295" s="67"/>
      <c r="K295" s="81"/>
      <c r="L295" s="68"/>
      <c r="M295" s="92"/>
      <c r="N295" s="100"/>
      <c r="O295" s="72"/>
      <c r="P295" s="72">
        <f>J295*N295</f>
        <v>0</v>
      </c>
      <c r="Q295" s="73"/>
    </row>
    <row r="296" spans="1:19" s="49" customFormat="1" ht="14.4" customHeight="1" x14ac:dyDescent="0.2">
      <c r="B296" s="141"/>
      <c r="C296" s="50"/>
      <c r="D296" s="62"/>
      <c r="E296" s="63"/>
      <c r="F296" s="133"/>
      <c r="G296" s="121"/>
      <c r="H296" s="121"/>
      <c r="I296" s="121"/>
      <c r="J296" s="31"/>
      <c r="K296" s="78"/>
      <c r="L296" s="48"/>
      <c r="M296" s="91"/>
      <c r="N296" s="79"/>
      <c r="O296" s="22"/>
      <c r="P296" s="30"/>
      <c r="Q296" s="47"/>
    </row>
    <row r="297" spans="1:19" customFormat="1" ht="30.6" x14ac:dyDescent="0.2">
      <c r="A297" s="173"/>
      <c r="B297" s="141" t="s">
        <v>192</v>
      </c>
      <c r="C297" s="21" t="s">
        <v>72</v>
      </c>
      <c r="D297" s="21" t="s">
        <v>72</v>
      </c>
      <c r="E297" s="21" t="s">
        <v>73</v>
      </c>
      <c r="F297" s="147"/>
      <c r="G297" s="147"/>
      <c r="H297" s="156"/>
      <c r="I297" s="156"/>
      <c r="J297" s="175"/>
      <c r="K297" s="176"/>
      <c r="L297" s="177"/>
      <c r="M297" s="178"/>
      <c r="N297" s="146"/>
      <c r="O297" s="143"/>
      <c r="P297" s="147">
        <f t="shared" ref="P297:P310" si="10">O297*K297</f>
        <v>0</v>
      </c>
      <c r="Q297" s="148"/>
      <c r="R297" s="179"/>
      <c r="S297" s="2"/>
    </row>
    <row r="298" spans="1:19" customFormat="1" ht="13.2" x14ac:dyDescent="0.2">
      <c r="A298" s="173"/>
      <c r="B298" s="141"/>
      <c r="C298" s="159"/>
      <c r="D298" s="174"/>
      <c r="E298" s="21" t="s">
        <v>17</v>
      </c>
      <c r="F298" s="147"/>
      <c r="G298" s="147"/>
      <c r="H298" s="156"/>
      <c r="I298" s="156"/>
      <c r="J298" s="175"/>
      <c r="K298" s="176"/>
      <c r="L298" s="177"/>
      <c r="M298" s="178"/>
      <c r="N298" s="146"/>
      <c r="O298" s="143"/>
      <c r="P298" s="147">
        <f t="shared" si="10"/>
        <v>0</v>
      </c>
      <c r="Q298" s="148"/>
      <c r="R298" s="179"/>
      <c r="S298" s="2"/>
    </row>
    <row r="299" spans="1:19" customFormat="1" ht="20.399999999999999" x14ac:dyDescent="0.2">
      <c r="A299" s="173"/>
      <c r="B299" s="141"/>
      <c r="C299" s="159"/>
      <c r="D299" s="174"/>
      <c r="E299" s="21" t="s">
        <v>81</v>
      </c>
      <c r="F299" s="147">
        <v>300</v>
      </c>
      <c r="G299" s="147"/>
      <c r="H299" s="156"/>
      <c r="I299" s="156"/>
      <c r="J299" s="175"/>
      <c r="K299" s="176">
        <v>350</v>
      </c>
      <c r="L299" s="177"/>
      <c r="M299" s="178"/>
      <c r="N299" s="146"/>
      <c r="O299" s="143"/>
      <c r="P299" s="147">
        <f t="shared" si="10"/>
        <v>0</v>
      </c>
      <c r="Q299" s="148"/>
      <c r="R299" s="179"/>
      <c r="S299" s="2"/>
    </row>
    <row r="300" spans="1:19" customFormat="1" ht="13.2" x14ac:dyDescent="0.2">
      <c r="A300" s="173"/>
      <c r="B300" s="141"/>
      <c r="C300" s="159"/>
      <c r="D300" s="174"/>
      <c r="E300" s="30" t="s">
        <v>74</v>
      </c>
      <c r="F300" s="147"/>
      <c r="G300" s="147"/>
      <c r="H300" s="156"/>
      <c r="I300" s="156"/>
      <c r="J300" s="31" t="s">
        <v>75</v>
      </c>
      <c r="K300" s="176">
        <f>ROUND(SUM(K298:K299),2)</f>
        <v>350</v>
      </c>
      <c r="L300" s="51">
        <v>3.31</v>
      </c>
      <c r="M300" s="79">
        <f>ROUND(PRODUCT(K300:L300),2)</f>
        <v>1158.5</v>
      </c>
      <c r="N300" s="146"/>
      <c r="O300" s="22" t="s">
        <v>76</v>
      </c>
      <c r="P300" s="147">
        <f t="shared" si="10"/>
        <v>17.5</v>
      </c>
      <c r="Q300" s="148"/>
      <c r="R300" s="179"/>
      <c r="S300" s="2"/>
    </row>
    <row r="301" spans="1:19" customFormat="1" ht="13.2" x14ac:dyDescent="0.2">
      <c r="A301" s="173"/>
      <c r="B301" s="141"/>
      <c r="C301" s="159"/>
      <c r="D301" s="174"/>
      <c r="E301" s="30"/>
      <c r="F301" s="147"/>
      <c r="G301" s="147"/>
      <c r="H301" s="156"/>
      <c r="I301" s="156"/>
      <c r="J301" s="31"/>
      <c r="K301" s="176"/>
      <c r="L301" s="177"/>
      <c r="M301" s="178"/>
      <c r="N301" s="146"/>
      <c r="O301" s="22"/>
      <c r="P301" s="147">
        <f t="shared" si="10"/>
        <v>0</v>
      </c>
      <c r="Q301" s="148"/>
      <c r="R301" s="179"/>
      <c r="S301" s="2"/>
    </row>
    <row r="302" spans="1:19" customFormat="1" ht="20.399999999999999" x14ac:dyDescent="0.2">
      <c r="A302" s="173"/>
      <c r="B302" s="141" t="s">
        <v>193</v>
      </c>
      <c r="C302" s="174"/>
      <c r="D302" s="21" t="s">
        <v>77</v>
      </c>
      <c r="E302" s="21" t="s">
        <v>78</v>
      </c>
      <c r="F302" s="155"/>
      <c r="G302" s="155"/>
      <c r="H302" s="155"/>
      <c r="I302" s="155"/>
      <c r="J302" s="155"/>
      <c r="K302" s="155"/>
      <c r="L302" s="185"/>
      <c r="M302" s="185"/>
      <c r="N302" s="186"/>
      <c r="O302" s="187"/>
      <c r="P302" s="147">
        <f t="shared" si="10"/>
        <v>0</v>
      </c>
      <c r="Q302" s="188"/>
      <c r="R302" s="189"/>
      <c r="S302" s="190"/>
    </row>
    <row r="303" spans="1:19" customFormat="1" ht="13.2" x14ac:dyDescent="0.2">
      <c r="A303" s="173"/>
      <c r="B303" s="141"/>
      <c r="C303" s="174"/>
      <c r="D303" s="155"/>
      <c r="E303" s="21" t="s">
        <v>17</v>
      </c>
      <c r="F303" s="155"/>
      <c r="G303" s="155"/>
      <c r="H303" s="155"/>
      <c r="I303" s="155"/>
      <c r="J303" s="155"/>
      <c r="K303" s="191"/>
      <c r="L303" s="185"/>
      <c r="M303" s="185"/>
      <c r="N303" s="146"/>
      <c r="O303" s="22"/>
      <c r="P303" s="147">
        <f t="shared" si="10"/>
        <v>0</v>
      </c>
      <c r="Q303" s="148"/>
      <c r="R303" s="189"/>
      <c r="S303" s="190"/>
    </row>
    <row r="304" spans="1:19" customFormat="1" ht="20.399999999999999" x14ac:dyDescent="0.2">
      <c r="A304" s="173"/>
      <c r="B304" s="141"/>
      <c r="C304" s="174"/>
      <c r="D304" s="155"/>
      <c r="E304" s="21" t="s">
        <v>81</v>
      </c>
      <c r="F304" s="155"/>
      <c r="G304" s="155"/>
      <c r="H304" s="155"/>
      <c r="I304" s="155"/>
      <c r="J304" s="192"/>
      <c r="K304" s="176">
        <v>10</v>
      </c>
      <c r="L304" s="185"/>
      <c r="M304" s="185"/>
      <c r="N304" s="186"/>
      <c r="O304" s="22"/>
      <c r="P304" s="147">
        <f t="shared" si="10"/>
        <v>0</v>
      </c>
      <c r="Q304" s="188"/>
      <c r="R304" s="189"/>
      <c r="S304" s="190"/>
    </row>
    <row r="305" spans="1:19" customFormat="1" ht="13.2" x14ac:dyDescent="0.2">
      <c r="A305" s="173"/>
      <c r="B305" s="141"/>
      <c r="C305" s="174"/>
      <c r="D305" s="155"/>
      <c r="E305" s="30" t="s">
        <v>79</v>
      </c>
      <c r="F305" s="155"/>
      <c r="G305" s="155"/>
      <c r="H305" s="155"/>
      <c r="I305" s="155"/>
      <c r="J305" s="155" t="s">
        <v>80</v>
      </c>
      <c r="K305" s="176">
        <f>SUM(K303:K304)</f>
        <v>10</v>
      </c>
      <c r="L305" s="51">
        <v>23.04</v>
      </c>
      <c r="M305" s="79">
        <f>L305*K305</f>
        <v>230.39999999999998</v>
      </c>
      <c r="N305" s="186"/>
      <c r="O305" s="22">
        <v>0.33</v>
      </c>
      <c r="P305" s="147">
        <f t="shared" si="10"/>
        <v>3.3000000000000003</v>
      </c>
      <c r="Q305" s="188"/>
      <c r="R305" s="189"/>
      <c r="S305" s="190"/>
    </row>
    <row r="306" spans="1:19" customFormat="1" ht="13.2" x14ac:dyDescent="0.2">
      <c r="A306" s="173"/>
      <c r="B306" s="141"/>
      <c r="C306" s="159"/>
      <c r="D306" s="155"/>
      <c r="E306" s="30" t="s">
        <v>82</v>
      </c>
      <c r="F306" s="147"/>
      <c r="G306" s="147"/>
      <c r="H306" s="156"/>
      <c r="I306" s="156"/>
      <c r="J306" s="175"/>
      <c r="K306" s="176"/>
      <c r="L306" s="177"/>
      <c r="M306" s="178"/>
      <c r="N306" s="146"/>
      <c r="O306" s="143"/>
      <c r="P306" s="147">
        <f t="shared" si="10"/>
        <v>0</v>
      </c>
      <c r="Q306" s="148"/>
      <c r="R306" s="179"/>
      <c r="S306" s="2"/>
    </row>
    <row r="307" spans="1:19" customFormat="1" ht="20.399999999999999" x14ac:dyDescent="0.2">
      <c r="A307" s="173"/>
      <c r="B307" s="141" t="s">
        <v>194</v>
      </c>
      <c r="C307" s="21" t="s">
        <v>83</v>
      </c>
      <c r="D307" s="21" t="s">
        <v>142</v>
      </c>
      <c r="E307" s="21" t="s">
        <v>143</v>
      </c>
      <c r="F307" s="147"/>
      <c r="G307" s="147"/>
      <c r="H307" s="156"/>
      <c r="I307" s="156"/>
      <c r="J307" s="175"/>
      <c r="K307" s="176"/>
      <c r="L307" s="177"/>
      <c r="M307" s="178"/>
      <c r="N307" s="146"/>
      <c r="O307" s="143"/>
      <c r="P307" s="147">
        <f t="shared" si="10"/>
        <v>0</v>
      </c>
      <c r="Q307" s="148"/>
      <c r="R307" s="179"/>
      <c r="S307" s="2"/>
    </row>
    <row r="308" spans="1:19" customFormat="1" ht="13.2" x14ac:dyDescent="0.2">
      <c r="A308" s="173"/>
      <c r="B308" s="141"/>
      <c r="C308" s="159"/>
      <c r="D308" s="155"/>
      <c r="E308" s="21" t="s">
        <v>17</v>
      </c>
      <c r="F308" s="147"/>
      <c r="G308" s="147"/>
      <c r="H308" s="156"/>
      <c r="I308" s="156"/>
      <c r="J308" s="175"/>
      <c r="K308" s="176"/>
      <c r="L308" s="177"/>
      <c r="M308" s="178"/>
      <c r="N308" s="146"/>
      <c r="O308" s="143"/>
      <c r="P308" s="147">
        <f t="shared" si="10"/>
        <v>0</v>
      </c>
      <c r="Q308" s="148"/>
      <c r="R308" s="179"/>
      <c r="S308" s="2"/>
    </row>
    <row r="309" spans="1:19" customFormat="1" ht="13.2" x14ac:dyDescent="0.2">
      <c r="A309" s="173"/>
      <c r="B309" s="141"/>
      <c r="C309" s="159"/>
      <c r="D309" s="155"/>
      <c r="E309" s="30" t="s">
        <v>144</v>
      </c>
      <c r="F309" s="131">
        <v>52</v>
      </c>
      <c r="G309" s="181"/>
      <c r="H309" s="182"/>
      <c r="I309" s="182"/>
      <c r="J309" s="183"/>
      <c r="K309" s="203">
        <v>52</v>
      </c>
      <c r="L309" s="177"/>
      <c r="M309" s="178"/>
      <c r="N309" s="146"/>
      <c r="O309" s="143"/>
      <c r="P309" s="147">
        <f t="shared" si="10"/>
        <v>0</v>
      </c>
      <c r="Q309" s="148"/>
      <c r="R309" s="179"/>
      <c r="S309" s="2"/>
    </row>
    <row r="310" spans="1:19" customFormat="1" ht="13.2" x14ac:dyDescent="0.2">
      <c r="A310" s="173"/>
      <c r="B310" s="141"/>
      <c r="C310" s="159"/>
      <c r="D310" s="155"/>
      <c r="E310" s="30" t="s">
        <v>79</v>
      </c>
      <c r="F310" s="147"/>
      <c r="G310" s="147"/>
      <c r="H310" s="156"/>
      <c r="I310" s="156"/>
      <c r="J310" s="31" t="s">
        <v>80</v>
      </c>
      <c r="K310" s="203">
        <f>ROUND(SUM(K308:K309),2)</f>
        <v>52</v>
      </c>
      <c r="L310" s="51">
        <v>7.21</v>
      </c>
      <c r="M310" s="79">
        <f>ROUND(PRODUCT(K310:L310),2)</f>
        <v>374.92</v>
      </c>
      <c r="N310" s="146"/>
      <c r="O310" s="22">
        <v>0.1</v>
      </c>
      <c r="P310" s="147">
        <f t="shared" si="10"/>
        <v>5.2</v>
      </c>
      <c r="Q310" s="148"/>
      <c r="R310" s="179"/>
      <c r="S310" s="2"/>
    </row>
    <row r="311" spans="1:19" customFormat="1" ht="13.2" x14ac:dyDescent="0.2">
      <c r="A311" s="173"/>
      <c r="B311" s="141"/>
      <c r="C311" s="159"/>
      <c r="D311" s="155"/>
      <c r="E311" s="30" t="s">
        <v>82</v>
      </c>
      <c r="F311" s="147"/>
      <c r="G311" s="147"/>
      <c r="H311" s="156"/>
      <c r="I311" s="156"/>
      <c r="J311" s="175"/>
      <c r="K311" s="176"/>
      <c r="L311" s="177"/>
      <c r="M311" s="178"/>
      <c r="N311" s="146"/>
      <c r="O311" s="143"/>
      <c r="P311" s="147">
        <f>O311*K311</f>
        <v>0</v>
      </c>
      <c r="Q311" s="148"/>
      <c r="R311" s="179"/>
      <c r="S311" s="2"/>
    </row>
    <row r="312" spans="1:19" customFormat="1" ht="71.400000000000006" x14ac:dyDescent="0.2">
      <c r="A312" s="173"/>
      <c r="B312" s="141" t="s">
        <v>196</v>
      </c>
      <c r="C312" s="21" t="s">
        <v>83</v>
      </c>
      <c r="D312" s="21" t="s">
        <v>83</v>
      </c>
      <c r="E312" s="21" t="s">
        <v>84</v>
      </c>
      <c r="F312" s="147"/>
      <c r="G312" s="147"/>
      <c r="H312" s="156"/>
      <c r="I312" s="156"/>
      <c r="J312" s="175"/>
      <c r="K312" s="176"/>
      <c r="L312" s="177"/>
      <c r="M312" s="178"/>
      <c r="N312" s="146"/>
      <c r="O312" s="143"/>
      <c r="P312" s="147">
        <f>O312*K312</f>
        <v>0</v>
      </c>
      <c r="Q312" s="148"/>
      <c r="R312" s="179"/>
      <c r="S312" s="2"/>
    </row>
    <row r="313" spans="1:19" customFormat="1" ht="13.2" x14ac:dyDescent="0.2">
      <c r="A313" s="173"/>
      <c r="B313" s="141"/>
      <c r="C313" s="159"/>
      <c r="D313" s="155"/>
      <c r="E313" s="21" t="s">
        <v>17</v>
      </c>
      <c r="F313" s="147"/>
      <c r="G313" s="147"/>
      <c r="H313" s="156"/>
      <c r="I313" s="156"/>
      <c r="J313" s="175"/>
      <c r="K313" s="176"/>
      <c r="L313" s="177"/>
      <c r="M313" s="178"/>
      <c r="N313" s="146"/>
      <c r="O313" s="143"/>
      <c r="P313" s="147">
        <f>O313*K313</f>
        <v>0</v>
      </c>
      <c r="Q313" s="148"/>
      <c r="R313" s="179"/>
      <c r="S313" s="2"/>
    </row>
    <row r="314" spans="1:19" customFormat="1" ht="13.2" x14ac:dyDescent="0.2">
      <c r="A314" s="173"/>
      <c r="B314" s="141"/>
      <c r="C314" s="159"/>
      <c r="D314" s="155"/>
      <c r="E314" s="198" t="s">
        <v>87</v>
      </c>
      <c r="F314" s="180">
        <v>48</v>
      </c>
      <c r="G314" s="181"/>
      <c r="H314" s="182"/>
      <c r="I314" s="182"/>
      <c r="J314" s="183"/>
      <c r="K314" s="197">
        <v>-48</v>
      </c>
      <c r="L314" s="177"/>
      <c r="M314" s="178"/>
      <c r="N314" s="146"/>
      <c r="O314" s="143"/>
      <c r="P314" s="147">
        <f>O314*K314</f>
        <v>0</v>
      </c>
      <c r="Q314" s="148"/>
      <c r="R314" s="179"/>
      <c r="S314" s="2"/>
    </row>
    <row r="315" spans="1:19" customFormat="1" ht="13.2" x14ac:dyDescent="0.2">
      <c r="A315" s="173"/>
      <c r="B315" s="141"/>
      <c r="C315" s="159"/>
      <c r="D315" s="155"/>
      <c r="E315" s="147" t="s">
        <v>79</v>
      </c>
      <c r="F315" s="147"/>
      <c r="G315" s="147"/>
      <c r="H315" s="156"/>
      <c r="I315" s="156"/>
      <c r="J315" s="31" t="s">
        <v>80</v>
      </c>
      <c r="K315" s="197">
        <f>ROUND(SUM(K313:K314),2)</f>
        <v>-48</v>
      </c>
      <c r="L315" s="51">
        <v>142.16</v>
      </c>
      <c r="M315" s="79">
        <f>ROUND(PRODUCT(K315:L315),2)</f>
        <v>-6823.68</v>
      </c>
      <c r="N315" s="146"/>
      <c r="O315" s="22">
        <v>2.0499999999999998</v>
      </c>
      <c r="P315" s="147">
        <f>O315*K315</f>
        <v>-98.399999999999991</v>
      </c>
      <c r="Q315" s="148"/>
      <c r="R315" s="179"/>
      <c r="S315" s="2"/>
    </row>
    <row r="316" spans="1:19" customFormat="1" ht="13.2" x14ac:dyDescent="0.2">
      <c r="A316" s="173"/>
      <c r="B316" s="141"/>
      <c r="C316" s="159"/>
      <c r="D316" s="155"/>
      <c r="E316" s="30"/>
      <c r="F316" s="147"/>
      <c r="G316" s="147"/>
      <c r="H316" s="156"/>
      <c r="I316" s="156"/>
      <c r="J316" s="31"/>
      <c r="K316" s="176"/>
      <c r="L316" s="177"/>
      <c r="M316" s="178"/>
      <c r="N316" s="146"/>
      <c r="O316" s="22"/>
      <c r="P316" s="147"/>
      <c r="Q316" s="148"/>
      <c r="R316" s="179"/>
      <c r="S316" s="2"/>
    </row>
    <row r="317" spans="1:19" customFormat="1" ht="40.799999999999997" x14ac:dyDescent="0.2">
      <c r="A317" s="173"/>
      <c r="B317" s="141" t="s">
        <v>195</v>
      </c>
      <c r="C317" s="21"/>
      <c r="D317" s="21" t="s">
        <v>85</v>
      </c>
      <c r="E317" s="21" t="s">
        <v>86</v>
      </c>
      <c r="F317" s="181"/>
      <c r="G317" s="181"/>
      <c r="H317" s="182"/>
      <c r="I317" s="182"/>
      <c r="J317" s="183"/>
      <c r="K317" s="184"/>
      <c r="L317" s="193"/>
      <c r="M317" s="194"/>
      <c r="N317" s="195"/>
      <c r="O317" s="196"/>
      <c r="P317" s="181">
        <f>O317*K317</f>
        <v>0</v>
      </c>
      <c r="Q317" s="148"/>
      <c r="R317" s="179"/>
      <c r="S317" s="2"/>
    </row>
    <row r="318" spans="1:19" customFormat="1" ht="13.2" x14ac:dyDescent="0.2">
      <c r="A318" s="173"/>
      <c r="B318" s="141"/>
      <c r="C318" s="159"/>
      <c r="D318" s="155"/>
      <c r="E318" s="21" t="s">
        <v>17</v>
      </c>
      <c r="F318" s="181"/>
      <c r="G318" s="181"/>
      <c r="H318" s="182"/>
      <c r="I318" s="182"/>
      <c r="J318" s="183"/>
      <c r="K318" s="184"/>
      <c r="L318" s="193"/>
      <c r="M318" s="194"/>
      <c r="N318" s="195"/>
      <c r="O318" s="196"/>
      <c r="P318" s="181">
        <f>O318*K318</f>
        <v>0</v>
      </c>
      <c r="Q318" s="148"/>
      <c r="R318" s="179"/>
      <c r="S318" s="2"/>
    </row>
    <row r="319" spans="1:19" s="200" customFormat="1" ht="13.2" x14ac:dyDescent="0.2">
      <c r="A319" s="173"/>
      <c r="B319" s="141"/>
      <c r="C319" s="21"/>
      <c r="D319" s="21"/>
      <c r="E319" s="201" t="s">
        <v>88</v>
      </c>
      <c r="F319" s="30">
        <v>14</v>
      </c>
      <c r="G319" s="30"/>
      <c r="H319" s="202"/>
      <c r="I319" s="202"/>
      <c r="J319" s="31"/>
      <c r="K319" s="203">
        <f>ROUND(PRODUCT(F319:I319),2)</f>
        <v>14</v>
      </c>
      <c r="L319" s="204"/>
      <c r="M319" s="205"/>
      <c r="N319" s="206"/>
      <c r="O319" s="22"/>
      <c r="P319" s="30">
        <f>O319*K319</f>
        <v>0</v>
      </c>
      <c r="Q319" s="47"/>
      <c r="R319" s="199"/>
      <c r="S319" s="49"/>
    </row>
    <row r="320" spans="1:19" s="200" customFormat="1" ht="13.2" x14ac:dyDescent="0.2">
      <c r="A320" s="173"/>
      <c r="B320" s="141"/>
      <c r="C320" s="21"/>
      <c r="D320" s="207"/>
      <c r="E320" s="30" t="s">
        <v>79</v>
      </c>
      <c r="F320" s="30"/>
      <c r="G320" s="30"/>
      <c r="H320" s="202"/>
      <c r="I320" s="202"/>
      <c r="J320" s="31" t="s">
        <v>80</v>
      </c>
      <c r="K320" s="203">
        <f>ROUND(SUM(K318:K319),2)</f>
        <v>14</v>
      </c>
      <c r="L320" s="51">
        <v>239.5</v>
      </c>
      <c r="M320" s="79">
        <f>ROUND(PRODUCT(K320:L320),2)</f>
        <v>3353</v>
      </c>
      <c r="N320" s="206"/>
      <c r="O320" s="22">
        <v>3.46</v>
      </c>
      <c r="P320" s="30">
        <f>O320*K320</f>
        <v>48.44</v>
      </c>
      <c r="Q320" s="47"/>
      <c r="R320" s="199"/>
      <c r="S320" s="49"/>
    </row>
    <row r="321" spans="1:19" customFormat="1" ht="13.2" x14ac:dyDescent="0.2">
      <c r="A321" s="173"/>
      <c r="B321" s="141"/>
      <c r="C321" s="208"/>
      <c r="D321" s="209"/>
      <c r="E321" s="30"/>
      <c r="F321" s="147"/>
      <c r="G321" s="147"/>
      <c r="H321" s="156"/>
      <c r="I321" s="156"/>
      <c r="J321" s="30"/>
      <c r="K321" s="176"/>
      <c r="L321" s="210"/>
      <c r="M321" s="178"/>
      <c r="N321" s="146"/>
      <c r="O321" s="22"/>
      <c r="P321" s="147"/>
      <c r="Q321" s="148"/>
      <c r="R321" s="179"/>
      <c r="S321" s="2"/>
    </row>
    <row r="322" spans="1:19" s="214" customFormat="1" ht="40.799999999999997" x14ac:dyDescent="0.2">
      <c r="A322" s="173"/>
      <c r="B322" s="141" t="s">
        <v>197</v>
      </c>
      <c r="C322" s="21"/>
      <c r="D322" s="21" t="s">
        <v>89</v>
      </c>
      <c r="E322" s="21" t="s">
        <v>315</v>
      </c>
      <c r="F322" s="181"/>
      <c r="G322" s="181"/>
      <c r="H322" s="182"/>
      <c r="I322" s="182"/>
      <c r="J322" s="183"/>
      <c r="K322" s="184"/>
      <c r="L322" s="193"/>
      <c r="M322" s="194"/>
      <c r="N322" s="195"/>
      <c r="O322" s="196"/>
      <c r="P322" s="181">
        <f>O322*K322</f>
        <v>0</v>
      </c>
      <c r="Q322" s="211"/>
      <c r="R322" s="212"/>
      <c r="S322" s="213"/>
    </row>
    <row r="323" spans="1:19" s="214" customFormat="1" ht="13.2" x14ac:dyDescent="0.2">
      <c r="A323" s="173"/>
      <c r="B323" s="141"/>
      <c r="C323" s="21"/>
      <c r="D323" s="155"/>
      <c r="E323" s="21" t="s">
        <v>17</v>
      </c>
      <c r="F323" s="181"/>
      <c r="G323" s="181"/>
      <c r="H323" s="182"/>
      <c r="I323" s="182"/>
      <c r="J323" s="183"/>
      <c r="K323" s="184"/>
      <c r="L323" s="193"/>
      <c r="M323" s="194"/>
      <c r="N323" s="195"/>
      <c r="O323" s="196"/>
      <c r="P323" s="181">
        <f>O323*K323</f>
        <v>0</v>
      </c>
      <c r="Q323" s="211"/>
      <c r="R323" s="212"/>
      <c r="S323" s="213"/>
    </row>
    <row r="324" spans="1:19" s="214" customFormat="1" ht="20.399999999999999" x14ac:dyDescent="0.2">
      <c r="A324" s="173"/>
      <c r="B324" s="141"/>
      <c r="C324" s="21"/>
      <c r="D324" s="155"/>
      <c r="E324" s="21" t="s">
        <v>91</v>
      </c>
      <c r="F324" s="147"/>
      <c r="G324" s="147">
        <v>80</v>
      </c>
      <c r="H324" s="156"/>
      <c r="I324" s="156"/>
      <c r="J324" s="147"/>
      <c r="K324" s="147">
        <f>ROUND(PRODUCT(F324:I324),2)</f>
        <v>80</v>
      </c>
      <c r="L324" s="157"/>
      <c r="M324" s="158"/>
      <c r="N324" s="147"/>
      <c r="O324" s="147"/>
      <c r="P324" s="147">
        <f>O324*K324</f>
        <v>0</v>
      </c>
      <c r="Q324" s="148"/>
      <c r="R324" s="212"/>
      <c r="S324" s="213"/>
    </row>
    <row r="325" spans="1:19" s="236" customFormat="1" ht="13.2" x14ac:dyDescent="0.25">
      <c r="A325" s="220"/>
      <c r="B325" s="141"/>
      <c r="C325" s="221"/>
      <c r="D325" s="231"/>
      <c r="E325" s="266" t="s">
        <v>74</v>
      </c>
      <c r="F325" s="176"/>
      <c r="G325" s="176"/>
      <c r="H325" s="232"/>
      <c r="I325" s="232"/>
      <c r="J325" s="176" t="s">
        <v>75</v>
      </c>
      <c r="K325" s="176">
        <f>ROUND(SUM(K323:K324),2)</f>
        <v>80</v>
      </c>
      <c r="L325" s="229">
        <v>14.46</v>
      </c>
      <c r="M325" s="79">
        <f>ROUND(PRODUCT(K325:L325),2)</f>
        <v>1156.8</v>
      </c>
      <c r="N325" s="176"/>
      <c r="O325" s="176">
        <v>0.21</v>
      </c>
      <c r="P325" s="176">
        <f>O325*K325</f>
        <v>16.8</v>
      </c>
      <c r="Q325" s="233"/>
      <c r="R325" s="234"/>
      <c r="S325" s="235"/>
    </row>
    <row r="326" spans="1:19" s="236" customFormat="1" ht="13.2" x14ac:dyDescent="0.25">
      <c r="A326" s="220"/>
      <c r="B326" s="141"/>
      <c r="C326" s="221"/>
      <c r="D326" s="231"/>
      <c r="E326" s="221"/>
      <c r="F326" s="176"/>
      <c r="G326" s="176"/>
      <c r="H326" s="232"/>
      <c r="I326" s="232"/>
      <c r="J326" s="176"/>
      <c r="K326" s="176"/>
      <c r="L326" s="229"/>
      <c r="M326" s="230"/>
      <c r="N326" s="176"/>
      <c r="O326" s="176"/>
      <c r="P326" s="176"/>
      <c r="Q326" s="233"/>
      <c r="R326" s="234"/>
      <c r="S326" s="235"/>
    </row>
    <row r="327" spans="1:19" s="214" customFormat="1" ht="40.799999999999997" x14ac:dyDescent="0.2">
      <c r="A327" s="173"/>
      <c r="B327" s="141" t="s">
        <v>198</v>
      </c>
      <c r="C327" s="21"/>
      <c r="D327" s="21" t="s">
        <v>90</v>
      </c>
      <c r="E327" s="21" t="s">
        <v>316</v>
      </c>
      <c r="F327" s="147"/>
      <c r="G327" s="147"/>
      <c r="H327" s="156"/>
      <c r="I327" s="156"/>
      <c r="J327" s="147"/>
      <c r="K327" s="147"/>
      <c r="L327" s="157"/>
      <c r="M327" s="158"/>
      <c r="N327" s="147"/>
      <c r="O327" s="147"/>
      <c r="P327" s="147">
        <f t="shared" ref="P327:P335" si="11">O327*K327</f>
        <v>0</v>
      </c>
      <c r="Q327" s="148"/>
      <c r="R327" s="212"/>
      <c r="S327" s="213"/>
    </row>
    <row r="328" spans="1:19" s="214" customFormat="1" ht="13.2" x14ac:dyDescent="0.2">
      <c r="A328" s="173"/>
      <c r="B328" s="141"/>
      <c r="C328" s="21"/>
      <c r="D328" s="155"/>
      <c r="E328" s="21" t="s">
        <v>17</v>
      </c>
      <c r="F328" s="147"/>
      <c r="G328" s="147"/>
      <c r="H328" s="156"/>
      <c r="I328" s="156"/>
      <c r="J328" s="147"/>
      <c r="K328" s="147"/>
      <c r="L328" s="157"/>
      <c r="M328" s="158"/>
      <c r="N328" s="147"/>
      <c r="O328" s="147"/>
      <c r="P328" s="147">
        <f t="shared" si="11"/>
        <v>0</v>
      </c>
      <c r="Q328" s="148"/>
      <c r="R328" s="212"/>
      <c r="S328" s="213"/>
    </row>
    <row r="329" spans="1:19" s="214" customFormat="1" ht="20.399999999999999" x14ac:dyDescent="0.2">
      <c r="A329" s="173"/>
      <c r="B329" s="141"/>
      <c r="C329" s="21"/>
      <c r="D329" s="155"/>
      <c r="E329" s="21" t="s">
        <v>92</v>
      </c>
      <c r="F329" s="147"/>
      <c r="G329" s="147">
        <v>35</v>
      </c>
      <c r="H329" s="156"/>
      <c r="I329" s="156"/>
      <c r="J329" s="147"/>
      <c r="K329" s="147">
        <f>ROUND(PRODUCT(F329:I329),2)</f>
        <v>35</v>
      </c>
      <c r="L329" s="157"/>
      <c r="M329" s="158"/>
      <c r="N329" s="147"/>
      <c r="O329" s="147"/>
      <c r="P329" s="147">
        <f t="shared" si="11"/>
        <v>0</v>
      </c>
      <c r="Q329" s="148"/>
      <c r="R329" s="212"/>
      <c r="S329" s="213"/>
    </row>
    <row r="330" spans="1:19" s="236" customFormat="1" ht="13.2" x14ac:dyDescent="0.25">
      <c r="A330" s="220"/>
      <c r="B330" s="141"/>
      <c r="C330" s="221"/>
      <c r="D330" s="231"/>
      <c r="E330" s="266" t="s">
        <v>74</v>
      </c>
      <c r="F330" s="176"/>
      <c r="G330" s="176"/>
      <c r="H330" s="232"/>
      <c r="I330" s="232"/>
      <c r="J330" s="176" t="s">
        <v>75</v>
      </c>
      <c r="K330" s="176">
        <f>ROUND(SUM(K328:K329),2)</f>
        <v>35</v>
      </c>
      <c r="L330" s="229">
        <v>21.73</v>
      </c>
      <c r="M330" s="230">
        <f>ROUND(PRODUCT(K330:L330),2)</f>
        <v>760.55</v>
      </c>
      <c r="N330" s="176"/>
      <c r="O330" s="176">
        <v>0.21</v>
      </c>
      <c r="P330" s="176">
        <f t="shared" si="11"/>
        <v>7.35</v>
      </c>
      <c r="Q330" s="233"/>
      <c r="R330" s="234"/>
      <c r="S330" s="235"/>
    </row>
    <row r="331" spans="1:19" s="236" customFormat="1" ht="13.2" x14ac:dyDescent="0.25">
      <c r="A331" s="220"/>
      <c r="B331" s="141"/>
      <c r="C331" s="221"/>
      <c r="D331" s="231"/>
      <c r="E331" s="266"/>
      <c r="F331" s="176"/>
      <c r="G331" s="176"/>
      <c r="H331" s="232"/>
      <c r="I331" s="232"/>
      <c r="J331" s="176"/>
      <c r="K331" s="176"/>
      <c r="L331" s="229"/>
      <c r="M331" s="230"/>
      <c r="N331" s="176"/>
      <c r="O331" s="176"/>
      <c r="P331" s="176"/>
      <c r="Q331" s="233"/>
      <c r="R331" s="234"/>
      <c r="S331" s="235"/>
    </row>
    <row r="332" spans="1:19" s="214" customFormat="1" ht="30.6" x14ac:dyDescent="0.2">
      <c r="A332" s="173"/>
      <c r="B332" s="141" t="s">
        <v>199</v>
      </c>
      <c r="C332" s="21"/>
      <c r="D332" s="21" t="s">
        <v>185</v>
      </c>
      <c r="E332" s="21" t="s">
        <v>186</v>
      </c>
      <c r="F332" s="181"/>
      <c r="G332" s="181"/>
      <c r="H332" s="182"/>
      <c r="I332" s="182"/>
      <c r="J332" s="183"/>
      <c r="K332" s="184"/>
      <c r="L332" s="193"/>
      <c r="M332" s="194"/>
      <c r="N332" s="195"/>
      <c r="O332" s="196"/>
      <c r="P332" s="181">
        <f t="shared" si="11"/>
        <v>0</v>
      </c>
      <c r="Q332" s="211"/>
      <c r="R332" s="212"/>
      <c r="S332" s="213"/>
    </row>
    <row r="333" spans="1:19" s="214" customFormat="1" ht="13.2" x14ac:dyDescent="0.2">
      <c r="A333" s="173"/>
      <c r="B333" s="141"/>
      <c r="C333" s="21"/>
      <c r="D333" s="155"/>
      <c r="E333" s="21" t="s">
        <v>17</v>
      </c>
      <c r="F333" s="181"/>
      <c r="G333" s="181"/>
      <c r="H333" s="182"/>
      <c r="I333" s="182"/>
      <c r="J333" s="183"/>
      <c r="K333" s="184"/>
      <c r="L333" s="193"/>
      <c r="M333" s="194"/>
      <c r="N333" s="195"/>
      <c r="O333" s="196"/>
      <c r="P333" s="181">
        <f t="shared" si="11"/>
        <v>0</v>
      </c>
      <c r="Q333" s="211"/>
      <c r="R333" s="212"/>
      <c r="S333" s="213"/>
    </row>
    <row r="334" spans="1:19" s="214" customFormat="1" ht="13.2" x14ac:dyDescent="0.2">
      <c r="A334" s="173"/>
      <c r="B334" s="141"/>
      <c r="C334" s="21"/>
      <c r="D334" s="155"/>
      <c r="E334" s="255" t="s">
        <v>191</v>
      </c>
      <c r="F334" s="147"/>
      <c r="G334" s="147">
        <v>80</v>
      </c>
      <c r="H334" s="156"/>
      <c r="I334" s="156"/>
      <c r="J334" s="147"/>
      <c r="K334" s="147">
        <f>ROUND(PRODUCT(F334:I334),2)</f>
        <v>80</v>
      </c>
      <c r="L334" s="157"/>
      <c r="M334" s="158"/>
      <c r="N334" s="147"/>
      <c r="O334" s="147"/>
      <c r="P334" s="147">
        <f t="shared" si="11"/>
        <v>0</v>
      </c>
      <c r="Q334" s="148"/>
      <c r="R334" s="212"/>
      <c r="S334" s="213"/>
    </row>
    <row r="335" spans="1:19" s="236" customFormat="1" ht="13.2" x14ac:dyDescent="0.25">
      <c r="A335" s="220"/>
      <c r="B335" s="141"/>
      <c r="C335" s="221"/>
      <c r="D335" s="231"/>
      <c r="E335" s="266" t="s">
        <v>74</v>
      </c>
      <c r="F335" s="176"/>
      <c r="G335" s="176"/>
      <c r="H335" s="232"/>
      <c r="I335" s="232"/>
      <c r="J335" s="176" t="s">
        <v>75</v>
      </c>
      <c r="K335" s="176">
        <f>ROUND(SUM(K333:K334),2)</f>
        <v>80</v>
      </c>
      <c r="L335" s="229">
        <v>10.99</v>
      </c>
      <c r="M335" s="79">
        <f>ROUND(PRODUCT(K335:L335),2)</f>
        <v>879.2</v>
      </c>
      <c r="N335" s="176"/>
      <c r="O335" s="176">
        <v>0.16</v>
      </c>
      <c r="P335" s="176">
        <f t="shared" si="11"/>
        <v>12.8</v>
      </c>
      <c r="Q335" s="233"/>
      <c r="R335" s="234"/>
      <c r="S335" s="235"/>
    </row>
    <row r="336" spans="1:19" s="236" customFormat="1" ht="13.2" x14ac:dyDescent="0.25">
      <c r="A336" s="220"/>
      <c r="B336" s="141"/>
      <c r="C336" s="221"/>
      <c r="D336" s="231"/>
      <c r="E336" s="266"/>
      <c r="F336" s="176"/>
      <c r="G336" s="176"/>
      <c r="H336" s="232"/>
      <c r="I336" s="232"/>
      <c r="J336" s="176"/>
      <c r="K336" s="176"/>
      <c r="L336" s="229"/>
      <c r="M336" s="230"/>
      <c r="N336" s="176"/>
      <c r="O336" s="176"/>
      <c r="P336" s="176"/>
      <c r="Q336" s="233"/>
      <c r="R336" s="234"/>
      <c r="S336" s="235"/>
    </row>
    <row r="337" spans="1:19" s="214" customFormat="1" ht="30.6" x14ac:dyDescent="0.2">
      <c r="A337" s="173"/>
      <c r="B337" s="141" t="s">
        <v>200</v>
      </c>
      <c r="C337" s="21"/>
      <c r="D337" s="21" t="s">
        <v>187</v>
      </c>
      <c r="E337" s="21" t="s">
        <v>188</v>
      </c>
      <c r="F337" s="181"/>
      <c r="G337" s="181"/>
      <c r="H337" s="182"/>
      <c r="I337" s="182"/>
      <c r="J337" s="183"/>
      <c r="K337" s="184"/>
      <c r="L337" s="193"/>
      <c r="M337" s="194"/>
      <c r="N337" s="195"/>
      <c r="O337" s="196"/>
      <c r="P337" s="181">
        <f>O337*K337</f>
        <v>0</v>
      </c>
      <c r="Q337" s="211"/>
      <c r="R337" s="212"/>
      <c r="S337" s="213"/>
    </row>
    <row r="338" spans="1:19" s="214" customFormat="1" ht="13.2" x14ac:dyDescent="0.2">
      <c r="A338" s="173"/>
      <c r="B338" s="141"/>
      <c r="C338" s="21"/>
      <c r="D338" s="155"/>
      <c r="E338" s="21" t="s">
        <v>17</v>
      </c>
      <c r="F338" s="181"/>
      <c r="G338" s="181"/>
      <c r="H338" s="182"/>
      <c r="I338" s="182"/>
      <c r="J338" s="183"/>
      <c r="K338" s="184"/>
      <c r="L338" s="193"/>
      <c r="M338" s="194"/>
      <c r="N338" s="195"/>
      <c r="O338" s="196"/>
      <c r="P338" s="181">
        <f>O338*K338</f>
        <v>0</v>
      </c>
      <c r="Q338" s="211"/>
      <c r="R338" s="212"/>
      <c r="S338" s="213"/>
    </row>
    <row r="339" spans="1:19" s="214" customFormat="1" ht="13.2" x14ac:dyDescent="0.2">
      <c r="A339" s="173"/>
      <c r="B339" s="141"/>
      <c r="C339" s="21"/>
      <c r="D339" s="155"/>
      <c r="E339" s="255" t="s">
        <v>191</v>
      </c>
      <c r="F339" s="147"/>
      <c r="G339" s="147">
        <v>150</v>
      </c>
      <c r="H339" s="156"/>
      <c r="I339" s="156"/>
      <c r="J339" s="147"/>
      <c r="K339" s="147">
        <f>ROUND(PRODUCT(F339:I339),2)</f>
        <v>150</v>
      </c>
      <c r="L339" s="157"/>
      <c r="M339" s="158"/>
      <c r="N339" s="147"/>
      <c r="O339" s="147"/>
      <c r="P339" s="147">
        <f>O339*K339</f>
        <v>0</v>
      </c>
      <c r="Q339" s="148"/>
      <c r="R339" s="212"/>
      <c r="S339" s="213"/>
    </row>
    <row r="340" spans="1:19" s="236" customFormat="1" ht="13.2" x14ac:dyDescent="0.25">
      <c r="A340" s="220"/>
      <c r="B340" s="141"/>
      <c r="C340" s="221"/>
      <c r="D340" s="231"/>
      <c r="E340" s="266" t="s">
        <v>74</v>
      </c>
      <c r="F340" s="176"/>
      <c r="G340" s="176"/>
      <c r="H340" s="232"/>
      <c r="I340" s="232"/>
      <c r="J340" s="176" t="s">
        <v>75</v>
      </c>
      <c r="K340" s="176">
        <f>ROUND(SUM(K338:K339),2)</f>
        <v>150</v>
      </c>
      <c r="L340" s="229">
        <v>9.5</v>
      </c>
      <c r="M340" s="79">
        <f>ROUND(PRODUCT(K340:L340),2)</f>
        <v>1425</v>
      </c>
      <c r="N340" s="176"/>
      <c r="O340" s="176">
        <v>0.14000000000000001</v>
      </c>
      <c r="P340" s="176">
        <f>O340*K340</f>
        <v>21.000000000000004</v>
      </c>
      <c r="Q340" s="233"/>
      <c r="R340" s="234"/>
      <c r="S340" s="235"/>
    </row>
    <row r="341" spans="1:19" s="236" customFormat="1" ht="13.2" x14ac:dyDescent="0.25">
      <c r="A341" s="220"/>
      <c r="B341" s="141"/>
      <c r="C341" s="221"/>
      <c r="D341" s="231"/>
      <c r="E341" s="221"/>
      <c r="F341" s="176"/>
      <c r="G341" s="176"/>
      <c r="H341" s="232"/>
      <c r="I341" s="232"/>
      <c r="J341" s="176"/>
      <c r="K341" s="176"/>
      <c r="L341" s="229"/>
      <c r="M341" s="230"/>
      <c r="N341" s="176"/>
      <c r="O341" s="176"/>
      <c r="P341" s="176"/>
      <c r="Q341" s="233"/>
      <c r="R341" s="234"/>
      <c r="S341" s="235"/>
    </row>
    <row r="342" spans="1:19" s="214" customFormat="1" ht="30.6" x14ac:dyDescent="0.2">
      <c r="A342" s="173"/>
      <c r="B342" s="141" t="s">
        <v>201</v>
      </c>
      <c r="C342" s="21"/>
      <c r="D342" s="21" t="s">
        <v>189</v>
      </c>
      <c r="E342" s="21" t="s">
        <v>190</v>
      </c>
      <c r="F342" s="181"/>
      <c r="G342" s="181"/>
      <c r="H342" s="182"/>
      <c r="I342" s="182"/>
      <c r="J342" s="183"/>
      <c r="K342" s="184"/>
      <c r="L342" s="193"/>
      <c r="M342" s="194"/>
      <c r="N342" s="195"/>
      <c r="O342" s="196"/>
      <c r="P342" s="181">
        <f>O342*K342</f>
        <v>0</v>
      </c>
      <c r="Q342" s="211"/>
      <c r="R342" s="212"/>
      <c r="S342" s="213"/>
    </row>
    <row r="343" spans="1:19" s="214" customFormat="1" ht="13.2" x14ac:dyDescent="0.2">
      <c r="A343" s="173"/>
      <c r="B343" s="141"/>
      <c r="C343" s="21"/>
      <c r="D343" s="155"/>
      <c r="E343" s="21" t="s">
        <v>17</v>
      </c>
      <c r="F343" s="181"/>
      <c r="G343" s="181"/>
      <c r="H343" s="182"/>
      <c r="I343" s="182"/>
      <c r="J343" s="183"/>
      <c r="K343" s="184"/>
      <c r="L343" s="193"/>
      <c r="M343" s="194"/>
      <c r="N343" s="195"/>
      <c r="O343" s="196"/>
      <c r="P343" s="181">
        <f>O343*K343</f>
        <v>0</v>
      </c>
      <c r="Q343" s="211"/>
      <c r="R343" s="212"/>
      <c r="S343" s="213"/>
    </row>
    <row r="344" spans="1:19" s="214" customFormat="1" ht="13.2" x14ac:dyDescent="0.2">
      <c r="A344" s="173"/>
      <c r="B344" s="141"/>
      <c r="C344" s="21"/>
      <c r="D344" s="155"/>
      <c r="E344" s="255" t="s">
        <v>191</v>
      </c>
      <c r="F344" s="147"/>
      <c r="G344" s="147">
        <v>100</v>
      </c>
      <c r="H344" s="156"/>
      <c r="I344" s="156"/>
      <c r="J344" s="147"/>
      <c r="K344" s="147">
        <f>ROUND(PRODUCT(F344:I344),2)</f>
        <v>100</v>
      </c>
      <c r="L344" s="157"/>
      <c r="M344" s="158"/>
      <c r="N344" s="147"/>
      <c r="O344" s="147"/>
      <c r="P344" s="147">
        <f>O344*K344</f>
        <v>0</v>
      </c>
      <c r="Q344" s="148"/>
      <c r="R344" s="212"/>
      <c r="S344" s="213"/>
    </row>
    <row r="345" spans="1:19" s="236" customFormat="1" ht="13.2" x14ac:dyDescent="0.25">
      <c r="A345" s="220"/>
      <c r="B345" s="141"/>
      <c r="C345" s="221"/>
      <c r="D345" s="231"/>
      <c r="E345" s="266" t="s">
        <v>74</v>
      </c>
      <c r="F345" s="176"/>
      <c r="G345" s="176"/>
      <c r="H345" s="232"/>
      <c r="I345" s="232"/>
      <c r="J345" s="176" t="s">
        <v>75</v>
      </c>
      <c r="K345" s="176">
        <f>ROUND(SUM(K343:K344),2)</f>
        <v>100</v>
      </c>
      <c r="L345" s="229">
        <v>5.99</v>
      </c>
      <c r="M345" s="79">
        <f>ROUND(PRODUCT(K345:L345),2)</f>
        <v>599</v>
      </c>
      <c r="N345" s="176"/>
      <c r="O345" s="176">
        <v>0.1</v>
      </c>
      <c r="P345" s="176">
        <f>O345*K345</f>
        <v>10</v>
      </c>
      <c r="Q345" s="233"/>
      <c r="R345" s="234"/>
      <c r="S345" s="235"/>
    </row>
    <row r="346" spans="1:19" s="236" customFormat="1" ht="13.2" x14ac:dyDescent="0.25">
      <c r="A346" s="220"/>
      <c r="B346" s="141"/>
      <c r="C346" s="221"/>
      <c r="D346" s="231"/>
      <c r="E346" s="221"/>
      <c r="F346" s="176"/>
      <c r="G346" s="176"/>
      <c r="H346" s="232"/>
      <c r="I346" s="232"/>
      <c r="J346" s="176"/>
      <c r="K346" s="176"/>
      <c r="L346" s="229"/>
      <c r="M346" s="230"/>
      <c r="N346" s="176"/>
      <c r="O346" s="176"/>
      <c r="P346" s="176"/>
      <c r="Q346" s="233"/>
      <c r="R346" s="234"/>
      <c r="S346" s="235"/>
    </row>
    <row r="347" spans="1:19" s="214" customFormat="1" ht="244.8" x14ac:dyDescent="0.2">
      <c r="A347" s="173"/>
      <c r="B347" s="141" t="s">
        <v>202</v>
      </c>
      <c r="C347" s="21"/>
      <c r="D347" s="21" t="s">
        <v>145</v>
      </c>
      <c r="E347" s="21" t="s">
        <v>317</v>
      </c>
      <c r="F347" s="147"/>
      <c r="G347" s="147"/>
      <c r="H347" s="156"/>
      <c r="I347" s="156"/>
      <c r="J347" s="147"/>
      <c r="K347" s="147"/>
      <c r="L347" s="157"/>
      <c r="M347" s="158"/>
      <c r="N347" s="147"/>
      <c r="O347" s="147"/>
      <c r="P347" s="147">
        <f>O347*K347</f>
        <v>0</v>
      </c>
      <c r="Q347" s="148"/>
      <c r="R347" s="212"/>
      <c r="S347" s="213"/>
    </row>
    <row r="348" spans="1:19" s="214" customFormat="1" ht="13.2" x14ac:dyDescent="0.2">
      <c r="A348" s="173"/>
      <c r="B348" s="141"/>
      <c r="C348" s="21"/>
      <c r="D348" s="155"/>
      <c r="E348" s="21" t="s">
        <v>17</v>
      </c>
      <c r="F348" s="147"/>
      <c r="G348" s="147"/>
      <c r="H348" s="156"/>
      <c r="I348" s="156"/>
      <c r="J348" s="147"/>
      <c r="K348" s="147"/>
      <c r="L348" s="157"/>
      <c r="M348" s="158"/>
      <c r="N348" s="147"/>
      <c r="O348" s="147"/>
      <c r="P348" s="147">
        <f>O348*K348</f>
        <v>0</v>
      </c>
      <c r="Q348" s="148"/>
      <c r="R348" s="212"/>
      <c r="S348" s="213"/>
    </row>
    <row r="349" spans="1:19" s="214" customFormat="1" ht="13.2" x14ac:dyDescent="0.2">
      <c r="A349" s="173"/>
      <c r="B349" s="141"/>
      <c r="C349" s="21"/>
      <c r="D349" s="155"/>
      <c r="E349" s="21" t="s">
        <v>146</v>
      </c>
      <c r="F349" s="147">
        <v>1</v>
      </c>
      <c r="G349" s="147"/>
      <c r="H349" s="156"/>
      <c r="I349" s="156"/>
      <c r="J349" s="147"/>
      <c r="K349" s="147">
        <f>ROUND(PRODUCT(F349:I349),2)</f>
        <v>1</v>
      </c>
      <c r="L349" s="157"/>
      <c r="M349" s="158"/>
      <c r="N349" s="147"/>
      <c r="O349" s="147"/>
      <c r="P349" s="147">
        <f>O349*K349</f>
        <v>0</v>
      </c>
      <c r="Q349" s="148"/>
      <c r="R349" s="212"/>
      <c r="S349" s="213"/>
    </row>
    <row r="350" spans="1:19" s="236" customFormat="1" ht="13.2" x14ac:dyDescent="0.25">
      <c r="A350" s="220"/>
      <c r="B350" s="141"/>
      <c r="C350" s="221"/>
      <c r="D350" s="231"/>
      <c r="E350" s="266" t="s">
        <v>79</v>
      </c>
      <c r="F350" s="176"/>
      <c r="G350" s="176"/>
      <c r="H350" s="232"/>
      <c r="I350" s="232"/>
      <c r="J350" s="203" t="s">
        <v>70</v>
      </c>
      <c r="K350" s="176">
        <v>1</v>
      </c>
      <c r="L350" s="229">
        <v>279.95999999999998</v>
      </c>
      <c r="M350" s="230">
        <f>ROUND(PRODUCT(K350:L350),2)</f>
        <v>279.95999999999998</v>
      </c>
      <c r="N350" s="176"/>
      <c r="O350" s="176">
        <v>11.2</v>
      </c>
      <c r="P350" s="176">
        <f>O350*K350</f>
        <v>11.2</v>
      </c>
      <c r="Q350" s="233"/>
      <c r="R350" s="234"/>
      <c r="S350" s="235"/>
    </row>
    <row r="351" spans="1:19" customFormat="1" ht="13.2" x14ac:dyDescent="0.2">
      <c r="A351" s="173"/>
      <c r="B351" s="141"/>
      <c r="C351" s="208"/>
      <c r="D351" s="209"/>
      <c r="E351" s="30"/>
      <c r="F351" s="147"/>
      <c r="G351" s="147"/>
      <c r="H351" s="156"/>
      <c r="I351" s="156"/>
      <c r="J351" s="30"/>
      <c r="K351" s="176"/>
      <c r="L351" s="210"/>
      <c r="M351" s="178"/>
      <c r="N351" s="146"/>
      <c r="O351" s="22"/>
      <c r="P351" s="147"/>
      <c r="Q351" s="148"/>
      <c r="R351" s="179"/>
      <c r="S351" s="2"/>
    </row>
    <row r="352" spans="1:19" s="214" customFormat="1" ht="71.400000000000006" x14ac:dyDescent="0.2">
      <c r="A352" s="173"/>
      <c r="B352" s="141" t="s">
        <v>203</v>
      </c>
      <c r="C352" s="21"/>
      <c r="D352" s="21" t="s">
        <v>147</v>
      </c>
      <c r="E352" s="21" t="s">
        <v>318</v>
      </c>
      <c r="F352" s="181"/>
      <c r="G352" s="181"/>
      <c r="H352" s="182"/>
      <c r="I352" s="182"/>
      <c r="J352" s="183"/>
      <c r="K352" s="184"/>
      <c r="L352" s="193"/>
      <c r="M352" s="194"/>
      <c r="N352" s="195"/>
      <c r="O352" s="196"/>
      <c r="P352" s="181">
        <f>O352*K352</f>
        <v>0</v>
      </c>
      <c r="Q352" s="211"/>
      <c r="R352" s="212"/>
      <c r="S352" s="213"/>
    </row>
    <row r="353" spans="1:19" s="214" customFormat="1" ht="13.2" x14ac:dyDescent="0.2">
      <c r="A353" s="173"/>
      <c r="B353" s="141"/>
      <c r="C353" s="21"/>
      <c r="D353" s="155"/>
      <c r="E353" s="21" t="s">
        <v>17</v>
      </c>
      <c r="F353" s="181"/>
      <c r="G353" s="181"/>
      <c r="H353" s="182"/>
      <c r="I353" s="182"/>
      <c r="J353" s="183"/>
      <c r="K353" s="184"/>
      <c r="L353" s="193"/>
      <c r="M353" s="194"/>
      <c r="N353" s="195"/>
      <c r="O353" s="196"/>
      <c r="P353" s="181">
        <f>O353*K353</f>
        <v>0</v>
      </c>
      <c r="Q353" s="211"/>
      <c r="R353" s="212"/>
      <c r="S353" s="213"/>
    </row>
    <row r="354" spans="1:19" s="214" customFormat="1" ht="13.2" x14ac:dyDescent="0.2">
      <c r="A354" s="173"/>
      <c r="B354" s="141"/>
      <c r="C354" s="21"/>
      <c r="D354" s="155"/>
      <c r="E354" s="30" t="s">
        <v>148</v>
      </c>
      <c r="F354" s="147"/>
      <c r="G354" s="147">
        <v>25</v>
      </c>
      <c r="H354" s="156"/>
      <c r="I354" s="156"/>
      <c r="J354" s="147"/>
      <c r="K354" s="147">
        <f>ROUND(PRODUCT(F354:I354),2)</f>
        <v>25</v>
      </c>
      <c r="L354" s="157"/>
      <c r="M354" s="158"/>
      <c r="N354" s="147"/>
      <c r="O354" s="147"/>
      <c r="P354" s="147">
        <f>O354*K354</f>
        <v>0</v>
      </c>
      <c r="Q354" s="148"/>
      <c r="R354" s="212"/>
      <c r="S354" s="213"/>
    </row>
    <row r="355" spans="1:19" s="236" customFormat="1" ht="13.2" x14ac:dyDescent="0.25">
      <c r="A355" s="220"/>
      <c r="B355" s="141"/>
      <c r="C355" s="221"/>
      <c r="D355" s="231"/>
      <c r="E355" s="266" t="s">
        <v>149</v>
      </c>
      <c r="F355" s="176"/>
      <c r="G355" s="176"/>
      <c r="H355" s="232"/>
      <c r="I355" s="232"/>
      <c r="J355" s="176" t="s">
        <v>75</v>
      </c>
      <c r="K355" s="176">
        <f>ROUND(SUM(K353:K354),2)</f>
        <v>25</v>
      </c>
      <c r="L355" s="229">
        <v>92.4</v>
      </c>
      <c r="M355" s="79">
        <f>ROUND(PRODUCT(K355:L355),2)</f>
        <v>2310</v>
      </c>
      <c r="N355" s="176"/>
      <c r="O355" s="176">
        <v>1.33</v>
      </c>
      <c r="P355" s="176">
        <f>O355*K355</f>
        <v>33.25</v>
      </c>
      <c r="Q355" s="233"/>
      <c r="R355" s="234"/>
      <c r="S355" s="235"/>
    </row>
    <row r="356" spans="1:19" customFormat="1" ht="13.2" x14ac:dyDescent="0.2">
      <c r="A356" s="173"/>
      <c r="B356" s="141"/>
      <c r="C356" s="208"/>
      <c r="D356" s="209"/>
      <c r="E356" s="30"/>
      <c r="F356" s="147"/>
      <c r="G356" s="147"/>
      <c r="H356" s="156"/>
      <c r="I356" s="156"/>
      <c r="J356" s="30"/>
      <c r="K356" s="176"/>
      <c r="L356" s="210"/>
      <c r="M356" s="178"/>
      <c r="N356" s="146"/>
      <c r="O356" s="22"/>
      <c r="P356" s="147"/>
      <c r="Q356" s="148"/>
      <c r="R356" s="179"/>
      <c r="S356" s="2"/>
    </row>
    <row r="357" spans="1:19" s="214" customFormat="1" ht="30.6" x14ac:dyDescent="0.2">
      <c r="A357" s="173"/>
      <c r="B357" s="141" t="s">
        <v>204</v>
      </c>
      <c r="C357" s="21"/>
      <c r="D357" s="21" t="s">
        <v>150</v>
      </c>
      <c r="E357" s="21" t="s">
        <v>151</v>
      </c>
      <c r="F357" s="181"/>
      <c r="G357" s="181"/>
      <c r="H357" s="182"/>
      <c r="I357" s="182"/>
      <c r="J357" s="183"/>
      <c r="K357" s="184"/>
      <c r="L357" s="193"/>
      <c r="M357" s="194"/>
      <c r="N357" s="195"/>
      <c r="O357" s="196"/>
      <c r="P357" s="181">
        <f>O357*K357</f>
        <v>0</v>
      </c>
      <c r="Q357" s="211"/>
      <c r="R357" s="212"/>
      <c r="S357" s="213"/>
    </row>
    <row r="358" spans="1:19" s="214" customFormat="1" ht="13.2" x14ac:dyDescent="0.2">
      <c r="A358" s="173"/>
      <c r="B358" s="141"/>
      <c r="C358" s="21"/>
      <c r="D358" s="155"/>
      <c r="E358" s="21" t="s">
        <v>17</v>
      </c>
      <c r="F358" s="181"/>
      <c r="G358" s="181"/>
      <c r="H358" s="182"/>
      <c r="I358" s="182"/>
      <c r="J358" s="183"/>
      <c r="K358" s="184"/>
      <c r="L358" s="193"/>
      <c r="M358" s="194"/>
      <c r="N358" s="195"/>
      <c r="O358" s="196"/>
      <c r="P358" s="181">
        <f>O358*K358</f>
        <v>0</v>
      </c>
      <c r="Q358" s="211"/>
      <c r="R358" s="212"/>
      <c r="S358" s="213"/>
    </row>
    <row r="359" spans="1:19" s="214" customFormat="1" ht="20.399999999999999" x14ac:dyDescent="0.2">
      <c r="A359" s="173"/>
      <c r="B359" s="141"/>
      <c r="C359" s="21"/>
      <c r="D359" s="155"/>
      <c r="E359" s="255" t="s">
        <v>152</v>
      </c>
      <c r="F359" s="147"/>
      <c r="G359" s="147">
        <v>50</v>
      </c>
      <c r="H359" s="156"/>
      <c r="I359" s="156"/>
      <c r="J359" s="147"/>
      <c r="K359" s="147">
        <f>ROUND(PRODUCT(F359:I359),2)</f>
        <v>50</v>
      </c>
      <c r="L359" s="157"/>
      <c r="M359" s="158"/>
      <c r="N359" s="147"/>
      <c r="O359" s="147"/>
      <c r="P359" s="147">
        <f>O359*K359</f>
        <v>0</v>
      </c>
      <c r="Q359" s="148"/>
      <c r="R359" s="212"/>
      <c r="S359" s="213"/>
    </row>
    <row r="360" spans="1:19" s="236" customFormat="1" ht="13.2" x14ac:dyDescent="0.25">
      <c r="A360" s="220"/>
      <c r="B360" s="141"/>
      <c r="C360" s="221"/>
      <c r="D360" s="231"/>
      <c r="E360" s="266" t="s">
        <v>149</v>
      </c>
      <c r="F360" s="176"/>
      <c r="G360" s="176"/>
      <c r="H360" s="232"/>
      <c r="I360" s="232"/>
      <c r="J360" s="176" t="s">
        <v>75</v>
      </c>
      <c r="K360" s="176">
        <f>ROUND(SUM(K358:K359),2)</f>
        <v>50</v>
      </c>
      <c r="L360" s="229">
        <v>17.510000000000002</v>
      </c>
      <c r="M360" s="79">
        <f>ROUND(PRODUCT(K360:L360),2)</f>
        <v>875.5</v>
      </c>
      <c r="N360" s="176"/>
      <c r="O360" s="176">
        <v>0.25</v>
      </c>
      <c r="P360" s="176">
        <f>O360*K360</f>
        <v>12.5</v>
      </c>
      <c r="Q360" s="233"/>
      <c r="R360" s="234"/>
      <c r="S360" s="235"/>
    </row>
    <row r="361" spans="1:19" s="214" customFormat="1" ht="13.2" x14ac:dyDescent="0.2">
      <c r="A361" s="173"/>
      <c r="B361" s="141"/>
      <c r="C361" s="215"/>
      <c r="D361" s="209"/>
      <c r="E361" s="267"/>
      <c r="F361" s="181"/>
      <c r="G361" s="181"/>
      <c r="H361" s="182"/>
      <c r="I361" s="182"/>
      <c r="J361" s="181"/>
      <c r="K361" s="184"/>
      <c r="L361" s="216"/>
      <c r="M361" s="194"/>
      <c r="N361" s="195"/>
      <c r="O361" s="196"/>
      <c r="P361" s="181"/>
      <c r="Q361" s="211"/>
      <c r="R361" s="212"/>
      <c r="S361" s="213"/>
    </row>
    <row r="362" spans="1:19" customFormat="1" ht="61.2" x14ac:dyDescent="0.2">
      <c r="A362" s="173"/>
      <c r="B362" s="141" t="s">
        <v>205</v>
      </c>
      <c r="C362" s="61" t="s">
        <v>93</v>
      </c>
      <c r="D362" s="61" t="s">
        <v>93</v>
      </c>
      <c r="E362" s="21" t="s">
        <v>94</v>
      </c>
      <c r="F362" s="147"/>
      <c r="G362" s="147"/>
      <c r="H362" s="156"/>
      <c r="I362" s="156"/>
      <c r="J362" s="175"/>
      <c r="K362" s="176"/>
      <c r="L362" s="177"/>
      <c r="M362" s="178"/>
      <c r="N362" s="146"/>
      <c r="O362" s="143"/>
      <c r="P362" s="147">
        <f>O362*K362</f>
        <v>0</v>
      </c>
      <c r="Q362" s="148"/>
      <c r="R362" s="179"/>
      <c r="S362" s="2"/>
    </row>
    <row r="363" spans="1:19" customFormat="1" ht="13.2" x14ac:dyDescent="0.2">
      <c r="A363" s="173"/>
      <c r="B363" s="141"/>
      <c r="C363" s="159"/>
      <c r="D363" s="174"/>
      <c r="E363" s="21" t="s">
        <v>17</v>
      </c>
      <c r="F363" s="147"/>
      <c r="G363" s="147"/>
      <c r="H363" s="156"/>
      <c r="I363" s="156"/>
      <c r="J363" s="175"/>
      <c r="K363" s="176"/>
      <c r="L363" s="177"/>
      <c r="M363" s="178"/>
      <c r="N363" s="146"/>
      <c r="O363" s="143"/>
      <c r="P363" s="147">
        <f>O363*K363</f>
        <v>0</v>
      </c>
      <c r="Q363" s="148"/>
      <c r="R363" s="179"/>
      <c r="S363" s="2"/>
    </row>
    <row r="364" spans="1:19" s="200" customFormat="1" ht="13.2" x14ac:dyDescent="0.2">
      <c r="A364" s="173"/>
      <c r="B364" s="141"/>
      <c r="C364" s="21"/>
      <c r="D364" s="207"/>
      <c r="E364" s="217" t="s">
        <v>104</v>
      </c>
      <c r="F364" s="30"/>
      <c r="G364" s="30"/>
      <c r="H364" s="202"/>
      <c r="I364" s="202"/>
      <c r="J364" s="31" t="s">
        <v>95</v>
      </c>
      <c r="K364" s="203">
        <f>90+15</f>
        <v>105</v>
      </c>
      <c r="L364" s="204"/>
      <c r="M364" s="205"/>
      <c r="N364" s="206"/>
      <c r="O364" s="22"/>
      <c r="P364" s="30"/>
      <c r="Q364" s="47"/>
      <c r="R364" s="199"/>
      <c r="S364" s="49"/>
    </row>
    <row r="365" spans="1:19" s="200" customFormat="1" ht="13.2" x14ac:dyDescent="0.2">
      <c r="A365" s="173"/>
      <c r="B365" s="141"/>
      <c r="C365" s="21"/>
      <c r="D365" s="207"/>
      <c r="E365" s="217" t="s">
        <v>105</v>
      </c>
      <c r="F365" s="30"/>
      <c r="G365" s="30"/>
      <c r="H365" s="202"/>
      <c r="I365" s="202"/>
      <c r="J365" s="31" t="s">
        <v>95</v>
      </c>
      <c r="K365" s="203">
        <f>83+15</f>
        <v>98</v>
      </c>
      <c r="L365" s="204"/>
      <c r="M365" s="205"/>
      <c r="N365" s="206"/>
      <c r="O365" s="22"/>
      <c r="P365" s="30"/>
      <c r="Q365" s="47"/>
      <c r="R365" s="199"/>
      <c r="S365" s="49"/>
    </row>
    <row r="366" spans="1:19" s="200" customFormat="1" ht="13.2" x14ac:dyDescent="0.2">
      <c r="A366" s="173"/>
      <c r="B366" s="141"/>
      <c r="C366" s="21"/>
      <c r="D366" s="207"/>
      <c r="E366" s="217" t="s">
        <v>106</v>
      </c>
      <c r="F366" s="30"/>
      <c r="G366" s="30"/>
      <c r="H366" s="202"/>
      <c r="I366" s="202"/>
      <c r="J366" s="31" t="s">
        <v>95</v>
      </c>
      <c r="K366" s="203">
        <f>76+15</f>
        <v>91</v>
      </c>
      <c r="L366" s="204"/>
      <c r="M366" s="205"/>
      <c r="N366" s="206"/>
      <c r="O366" s="22"/>
      <c r="P366" s="30"/>
      <c r="Q366" s="47"/>
      <c r="R366" s="199"/>
      <c r="S366" s="49"/>
    </row>
    <row r="367" spans="1:19" s="200" customFormat="1" ht="13.2" x14ac:dyDescent="0.2">
      <c r="A367" s="173"/>
      <c r="B367" s="141"/>
      <c r="C367" s="21"/>
      <c r="D367" s="207"/>
      <c r="E367" s="217" t="s">
        <v>107</v>
      </c>
      <c r="F367" s="30"/>
      <c r="G367" s="30"/>
      <c r="H367" s="202"/>
      <c r="I367" s="202"/>
      <c r="J367" s="31" t="s">
        <v>95</v>
      </c>
      <c r="K367" s="203">
        <f>69+15</f>
        <v>84</v>
      </c>
      <c r="L367" s="204"/>
      <c r="M367" s="205"/>
      <c r="N367" s="206"/>
      <c r="O367" s="22"/>
      <c r="P367" s="30"/>
      <c r="Q367" s="47"/>
      <c r="R367" s="199"/>
      <c r="S367" s="49"/>
    </row>
    <row r="368" spans="1:19" s="200" customFormat="1" ht="13.2" x14ac:dyDescent="0.2">
      <c r="A368" s="173"/>
      <c r="B368" s="141"/>
      <c r="C368" s="21"/>
      <c r="D368" s="207"/>
      <c r="E368" s="217" t="s">
        <v>108</v>
      </c>
      <c r="F368" s="30"/>
      <c r="G368" s="30"/>
      <c r="H368" s="202"/>
      <c r="I368" s="202"/>
      <c r="J368" s="31" t="s">
        <v>95</v>
      </c>
      <c r="K368" s="203">
        <f>65+15</f>
        <v>80</v>
      </c>
      <c r="L368" s="204"/>
      <c r="M368" s="205"/>
      <c r="N368" s="206"/>
      <c r="O368" s="22"/>
      <c r="P368" s="30"/>
      <c r="Q368" s="47"/>
      <c r="R368" s="199"/>
      <c r="S368" s="49"/>
    </row>
    <row r="369" spans="1:19" s="200" customFormat="1" ht="13.2" x14ac:dyDescent="0.2">
      <c r="A369" s="173"/>
      <c r="B369" s="141"/>
      <c r="C369" s="21"/>
      <c r="D369" s="207"/>
      <c r="E369" s="217" t="s">
        <v>109</v>
      </c>
      <c r="F369" s="30"/>
      <c r="G369" s="30"/>
      <c r="H369" s="202"/>
      <c r="I369" s="202"/>
      <c r="J369" s="31" t="s">
        <v>95</v>
      </c>
      <c r="K369" s="203">
        <f>72+15</f>
        <v>87</v>
      </c>
      <c r="L369" s="204"/>
      <c r="M369" s="205"/>
      <c r="N369" s="206"/>
      <c r="O369" s="22"/>
      <c r="P369" s="30"/>
      <c r="Q369" s="47"/>
      <c r="R369" s="199"/>
      <c r="S369" s="49"/>
    </row>
    <row r="370" spans="1:19" s="200" customFormat="1" ht="13.2" x14ac:dyDescent="0.2">
      <c r="A370" s="173"/>
      <c r="B370" s="141"/>
      <c r="C370" s="21"/>
      <c r="D370" s="207"/>
      <c r="E370" s="217" t="s">
        <v>103</v>
      </c>
      <c r="F370" s="30"/>
      <c r="G370" s="30"/>
      <c r="H370" s="202"/>
      <c r="I370" s="202"/>
      <c r="J370" s="31" t="s">
        <v>95</v>
      </c>
      <c r="K370" s="197">
        <v>-293</v>
      </c>
      <c r="L370" s="204"/>
      <c r="M370" s="205"/>
      <c r="N370" s="206"/>
      <c r="O370" s="22"/>
      <c r="P370" s="30"/>
      <c r="Q370" s="47"/>
      <c r="R370" s="199"/>
      <c r="S370" s="49"/>
    </row>
    <row r="371" spans="1:19" s="219" customFormat="1" ht="13.2" x14ac:dyDescent="0.25">
      <c r="A371" s="220"/>
      <c r="B371" s="141"/>
      <c r="C371" s="221"/>
      <c r="D371" s="222"/>
      <c r="E371" s="203" t="s">
        <v>74</v>
      </c>
      <c r="F371" s="203"/>
      <c r="G371" s="203"/>
      <c r="H371" s="223"/>
      <c r="I371" s="223"/>
      <c r="J371" s="31" t="s">
        <v>95</v>
      </c>
      <c r="K371" s="203">
        <f>ROUND(SUM(K363:K370),2)</f>
        <v>252</v>
      </c>
      <c r="L371" s="229">
        <v>9.4</v>
      </c>
      <c r="M371" s="79">
        <f>ROUND(PRODUCT(K371:L371),2)</f>
        <v>2368.8000000000002</v>
      </c>
      <c r="N371" s="225"/>
      <c r="O371" s="226">
        <v>0.14000000000000001</v>
      </c>
      <c r="P371" s="203">
        <f>O371*K371</f>
        <v>35.28</v>
      </c>
      <c r="Q371" s="227"/>
      <c r="R371" s="228"/>
      <c r="S371" s="218"/>
    </row>
    <row r="372" spans="1:19" customFormat="1" ht="13.2" x14ac:dyDescent="0.2">
      <c r="A372" s="173"/>
      <c r="B372" s="141"/>
      <c r="C372" s="159"/>
      <c r="D372" s="174"/>
      <c r="E372" s="30"/>
      <c r="F372" s="147"/>
      <c r="G372" s="147"/>
      <c r="H372" s="156"/>
      <c r="I372" s="156"/>
      <c r="J372" s="31"/>
      <c r="K372" s="176"/>
      <c r="L372" s="157"/>
      <c r="M372" s="158"/>
      <c r="N372" s="146"/>
      <c r="O372" s="22"/>
      <c r="P372" s="147"/>
      <c r="Q372" s="148"/>
      <c r="R372" s="179"/>
      <c r="S372" s="2"/>
    </row>
    <row r="373" spans="1:19" customFormat="1" ht="61.2" x14ac:dyDescent="0.2">
      <c r="A373" s="173"/>
      <c r="B373" s="141" t="s">
        <v>206</v>
      </c>
      <c r="C373" s="61" t="s">
        <v>96</v>
      </c>
      <c r="D373" s="61" t="s">
        <v>96</v>
      </c>
      <c r="E373" s="21" t="s">
        <v>97</v>
      </c>
      <c r="F373" s="147"/>
      <c r="G373" s="147"/>
      <c r="H373" s="156"/>
      <c r="I373" s="156"/>
      <c r="J373" s="175"/>
      <c r="K373" s="176"/>
      <c r="L373" s="157"/>
      <c r="M373" s="158"/>
      <c r="N373" s="146"/>
      <c r="O373" s="143"/>
      <c r="P373" s="147">
        <f>O373*K373</f>
        <v>0</v>
      </c>
      <c r="Q373" s="148"/>
      <c r="R373" s="179"/>
      <c r="S373" s="2"/>
    </row>
    <row r="374" spans="1:19" customFormat="1" ht="13.2" x14ac:dyDescent="0.2">
      <c r="A374" s="173"/>
      <c r="B374" s="141"/>
      <c r="C374" s="159"/>
      <c r="D374" s="174"/>
      <c r="E374" s="21" t="s">
        <v>17</v>
      </c>
      <c r="F374" s="147"/>
      <c r="G374" s="147"/>
      <c r="H374" s="156"/>
      <c r="I374" s="156"/>
      <c r="J374" s="175"/>
      <c r="K374" s="176"/>
      <c r="L374" s="157"/>
      <c r="M374" s="158"/>
      <c r="N374" s="146"/>
      <c r="O374" s="143"/>
      <c r="P374" s="147">
        <f>O374*K374</f>
        <v>0</v>
      </c>
      <c r="Q374" s="148"/>
      <c r="R374" s="179"/>
      <c r="S374" s="2"/>
    </row>
    <row r="375" spans="1:19" s="200" customFormat="1" ht="12" customHeight="1" x14ac:dyDescent="0.2">
      <c r="A375" s="173"/>
      <c r="B375" s="141"/>
      <c r="C375" s="21"/>
      <c r="D375" s="207"/>
      <c r="E375" s="21" t="s">
        <v>110</v>
      </c>
      <c r="F375" s="30"/>
      <c r="G375" s="30"/>
      <c r="H375" s="202"/>
      <c r="I375" s="202"/>
      <c r="J375" s="31" t="s">
        <v>95</v>
      </c>
      <c r="K375" s="203">
        <f>97+15</f>
        <v>112</v>
      </c>
      <c r="L375" s="162"/>
      <c r="M375" s="165"/>
      <c r="N375" s="206"/>
      <c r="O375" s="22"/>
      <c r="P375" s="30"/>
      <c r="Q375" s="47"/>
      <c r="R375" s="199"/>
      <c r="S375" s="49"/>
    </row>
    <row r="376" spans="1:19" s="200" customFormat="1" ht="12" customHeight="1" x14ac:dyDescent="0.2">
      <c r="A376" s="173"/>
      <c r="B376" s="141"/>
      <c r="C376" s="21"/>
      <c r="D376" s="207"/>
      <c r="E376" s="21" t="s">
        <v>111</v>
      </c>
      <c r="F376" s="30"/>
      <c r="G376" s="30"/>
      <c r="H376" s="202"/>
      <c r="I376" s="202"/>
      <c r="J376" s="31" t="s">
        <v>95</v>
      </c>
      <c r="K376" s="203">
        <f>105+15</f>
        <v>120</v>
      </c>
      <c r="L376" s="162"/>
      <c r="M376" s="165"/>
      <c r="N376" s="206"/>
      <c r="O376" s="22"/>
      <c r="P376" s="30"/>
      <c r="Q376" s="47"/>
      <c r="R376" s="199"/>
      <c r="S376" s="49"/>
    </row>
    <row r="377" spans="1:19" s="200" customFormat="1" ht="12" customHeight="1" x14ac:dyDescent="0.2">
      <c r="A377" s="173"/>
      <c r="B377" s="141"/>
      <c r="C377" s="21"/>
      <c r="D377" s="207"/>
      <c r="E377" s="21" t="s">
        <v>112</v>
      </c>
      <c r="F377" s="30"/>
      <c r="G377" s="30"/>
      <c r="H377" s="202"/>
      <c r="I377" s="202"/>
      <c r="J377" s="31" t="s">
        <v>95</v>
      </c>
      <c r="K377" s="203">
        <f>100+15</f>
        <v>115</v>
      </c>
      <c r="L377" s="162"/>
      <c r="M377" s="165"/>
      <c r="N377" s="206"/>
      <c r="O377" s="22"/>
      <c r="P377" s="30"/>
      <c r="Q377" s="47"/>
      <c r="R377" s="199"/>
      <c r="S377" s="49"/>
    </row>
    <row r="378" spans="1:19" s="200" customFormat="1" ht="12" customHeight="1" x14ac:dyDescent="0.2">
      <c r="A378" s="173"/>
      <c r="B378" s="141"/>
      <c r="C378" s="21"/>
      <c r="D378" s="207"/>
      <c r="E378" s="21" t="s">
        <v>113</v>
      </c>
      <c r="F378" s="30"/>
      <c r="G378" s="30"/>
      <c r="H378" s="202"/>
      <c r="I378" s="202"/>
      <c r="J378" s="31" t="s">
        <v>95</v>
      </c>
      <c r="K378" s="203">
        <f>93+15</f>
        <v>108</v>
      </c>
      <c r="L378" s="162"/>
      <c r="M378" s="165"/>
      <c r="N378" s="206"/>
      <c r="O378" s="22"/>
      <c r="P378" s="30"/>
      <c r="Q378" s="47"/>
      <c r="R378" s="199"/>
      <c r="S378" s="49"/>
    </row>
    <row r="379" spans="1:19" s="200" customFormat="1" ht="13.2" x14ac:dyDescent="0.2">
      <c r="A379" s="173"/>
      <c r="B379" s="141"/>
      <c r="C379" s="21"/>
      <c r="D379" s="207"/>
      <c r="E379" s="217" t="s">
        <v>103</v>
      </c>
      <c r="F379" s="30"/>
      <c r="G379" s="30"/>
      <c r="H379" s="202"/>
      <c r="I379" s="202"/>
      <c r="J379" s="31" t="s">
        <v>95</v>
      </c>
      <c r="K379" s="197">
        <v>-395</v>
      </c>
      <c r="L379" s="204"/>
      <c r="M379" s="205"/>
      <c r="N379" s="206"/>
      <c r="O379" s="22"/>
      <c r="P379" s="30"/>
      <c r="Q379" s="47"/>
      <c r="R379" s="199"/>
      <c r="S379" s="49"/>
    </row>
    <row r="380" spans="1:19" s="219" customFormat="1" ht="13.2" x14ac:dyDescent="0.25">
      <c r="A380" s="220"/>
      <c r="B380" s="141"/>
      <c r="C380" s="221"/>
      <c r="D380" s="222"/>
      <c r="E380" s="203" t="s">
        <v>74</v>
      </c>
      <c r="F380" s="203"/>
      <c r="G380" s="203"/>
      <c r="H380" s="223"/>
      <c r="I380" s="223"/>
      <c r="J380" s="31" t="s">
        <v>95</v>
      </c>
      <c r="K380" s="203">
        <f>ROUND(SUM(K374:K379),2)</f>
        <v>60</v>
      </c>
      <c r="L380" s="48">
        <v>12.11</v>
      </c>
      <c r="M380" s="224">
        <f>ROUND(PRODUCT(K380:L380),2)</f>
        <v>726.6</v>
      </c>
      <c r="N380" s="225"/>
      <c r="O380" s="226">
        <v>0.17</v>
      </c>
      <c r="P380" s="203">
        <f>O380*K380</f>
        <v>10.200000000000001</v>
      </c>
      <c r="Q380" s="227"/>
      <c r="R380" s="228"/>
      <c r="S380" s="218"/>
    </row>
    <row r="381" spans="1:19" customFormat="1" ht="13.2" x14ac:dyDescent="0.2">
      <c r="A381" s="173"/>
      <c r="B381" s="141"/>
      <c r="C381" s="159"/>
      <c r="D381" s="174"/>
      <c r="E381" s="30"/>
      <c r="F381" s="147"/>
      <c r="G381" s="147"/>
      <c r="H381" s="156"/>
      <c r="I381" s="156"/>
      <c r="J381" s="31"/>
      <c r="K381" s="176"/>
      <c r="L381" s="157"/>
      <c r="M381" s="158"/>
      <c r="N381" s="146"/>
      <c r="O381" s="22"/>
      <c r="P381" s="147"/>
      <c r="Q381" s="148"/>
      <c r="R381" s="179"/>
      <c r="S381" s="2"/>
    </row>
    <row r="382" spans="1:19" customFormat="1" ht="61.2" x14ac:dyDescent="0.2">
      <c r="A382" s="173"/>
      <c r="B382" s="141" t="s">
        <v>207</v>
      </c>
      <c r="C382" s="61" t="s">
        <v>98</v>
      </c>
      <c r="D382" s="61" t="s">
        <v>98</v>
      </c>
      <c r="E382" s="21" t="s">
        <v>99</v>
      </c>
      <c r="F382" s="147"/>
      <c r="G382" s="147"/>
      <c r="H382" s="156"/>
      <c r="I382" s="156"/>
      <c r="J382" s="175"/>
      <c r="K382" s="176"/>
      <c r="L382" s="157"/>
      <c r="M382" s="158"/>
      <c r="N382" s="146"/>
      <c r="O382" s="143"/>
      <c r="P382" s="147">
        <f>O382*K382</f>
        <v>0</v>
      </c>
      <c r="Q382" s="148"/>
      <c r="R382" s="179"/>
      <c r="S382" s="2"/>
    </row>
    <row r="383" spans="1:19" s="200" customFormat="1" ht="13.2" x14ac:dyDescent="0.2">
      <c r="A383" s="173"/>
      <c r="B383" s="141"/>
      <c r="C383" s="21"/>
      <c r="D383" s="207"/>
      <c r="E383" s="21" t="s">
        <v>114</v>
      </c>
      <c r="F383" s="30"/>
      <c r="G383" s="30"/>
      <c r="H383" s="202"/>
      <c r="I383" s="202"/>
      <c r="J383" s="31"/>
      <c r="K383" s="203"/>
      <c r="L383" s="162"/>
      <c r="M383" s="165"/>
      <c r="N383" s="206"/>
      <c r="O383" s="22"/>
      <c r="P383" s="30">
        <f>O383*K383</f>
        <v>0</v>
      </c>
      <c r="Q383" s="47"/>
      <c r="R383" s="199"/>
      <c r="S383" s="49"/>
    </row>
    <row r="384" spans="1:19" s="200" customFormat="1" ht="13.2" x14ac:dyDescent="0.2">
      <c r="A384" s="173"/>
      <c r="B384" s="141"/>
      <c r="C384" s="21"/>
      <c r="D384" s="207"/>
      <c r="E384" s="21" t="s">
        <v>115</v>
      </c>
      <c r="F384" s="30"/>
      <c r="G384" s="30"/>
      <c r="H384" s="202"/>
      <c r="I384" s="202"/>
      <c r="J384" s="31" t="s">
        <v>95</v>
      </c>
      <c r="K384" s="203">
        <f>86+15</f>
        <v>101</v>
      </c>
      <c r="L384" s="162"/>
      <c r="M384" s="165"/>
      <c r="N384" s="206"/>
      <c r="O384" s="22"/>
      <c r="P384" s="30"/>
      <c r="Q384" s="47"/>
      <c r="R384" s="199"/>
      <c r="S384" s="49"/>
    </row>
    <row r="385" spans="1:19" s="200" customFormat="1" ht="13.2" x14ac:dyDescent="0.2">
      <c r="A385" s="173"/>
      <c r="B385" s="141"/>
      <c r="C385" s="21"/>
      <c r="D385" s="207"/>
      <c r="E385" s="21" t="s">
        <v>116</v>
      </c>
      <c r="F385" s="30"/>
      <c r="G385" s="30"/>
      <c r="H385" s="202"/>
      <c r="I385" s="202"/>
      <c r="J385" s="31" t="s">
        <v>95</v>
      </c>
      <c r="K385" s="203">
        <f>79+15</f>
        <v>94</v>
      </c>
      <c r="L385" s="162"/>
      <c r="M385" s="165"/>
      <c r="N385" s="206"/>
      <c r="O385" s="22"/>
      <c r="P385" s="30"/>
      <c r="Q385" s="47"/>
      <c r="R385" s="199"/>
      <c r="S385" s="49"/>
    </row>
    <row r="386" spans="1:19" s="200" customFormat="1" ht="13.2" x14ac:dyDescent="0.2">
      <c r="A386" s="173"/>
      <c r="B386" s="141"/>
      <c r="C386" s="21"/>
      <c r="D386" s="207"/>
      <c r="E386" s="21" t="s">
        <v>117</v>
      </c>
      <c r="F386" s="30"/>
      <c r="G386" s="30"/>
      <c r="H386" s="202"/>
      <c r="I386" s="202"/>
      <c r="J386" s="31" t="s">
        <v>95</v>
      </c>
      <c r="K386" s="203">
        <f>107+15</f>
        <v>122</v>
      </c>
      <c r="L386" s="162"/>
      <c r="M386" s="165"/>
      <c r="N386" s="206"/>
      <c r="O386" s="22"/>
      <c r="P386" s="30"/>
      <c r="Q386" s="47"/>
      <c r="R386" s="199"/>
      <c r="S386" s="49"/>
    </row>
    <row r="387" spans="1:19" s="200" customFormat="1" ht="13.2" x14ac:dyDescent="0.2">
      <c r="A387" s="173"/>
      <c r="B387" s="141"/>
      <c r="C387" s="21"/>
      <c r="D387" s="207"/>
      <c r="E387" s="217" t="s">
        <v>103</v>
      </c>
      <c r="F387" s="30"/>
      <c r="G387" s="30"/>
      <c r="H387" s="202"/>
      <c r="I387" s="202"/>
      <c r="J387" s="31" t="s">
        <v>95</v>
      </c>
      <c r="K387" s="197">
        <v>-272</v>
      </c>
      <c r="L387" s="204"/>
      <c r="M387" s="205"/>
      <c r="N387" s="206"/>
      <c r="O387" s="22"/>
      <c r="P387" s="30"/>
      <c r="Q387" s="47"/>
      <c r="R387" s="199"/>
      <c r="S387" s="49"/>
    </row>
    <row r="388" spans="1:19" s="248" customFormat="1" ht="13.2" x14ac:dyDescent="0.2">
      <c r="A388" s="173"/>
      <c r="B388" s="141"/>
      <c r="C388" s="237"/>
      <c r="D388" s="238"/>
      <c r="E388" s="239" t="s">
        <v>74</v>
      </c>
      <c r="F388" s="239"/>
      <c r="G388" s="239"/>
      <c r="H388" s="240"/>
      <c r="I388" s="240"/>
      <c r="J388" s="241" t="s">
        <v>75</v>
      </c>
      <c r="K388" s="239">
        <f>ROUND(SUM(K383:K387),2)</f>
        <v>45</v>
      </c>
      <c r="L388" s="170">
        <v>12.69</v>
      </c>
      <c r="M388" s="242">
        <f>ROUND(PRODUCT(K388:L388),2)</f>
        <v>571.04999999999995</v>
      </c>
      <c r="N388" s="243"/>
      <c r="O388" s="244">
        <v>0.18</v>
      </c>
      <c r="P388" s="239">
        <f>O388*K388</f>
        <v>8.1</v>
      </c>
      <c r="Q388" s="245"/>
      <c r="R388" s="246"/>
      <c r="S388" s="247"/>
    </row>
    <row r="389" spans="1:19" s="219" customFormat="1" ht="13.2" x14ac:dyDescent="0.25">
      <c r="A389" s="220"/>
      <c r="B389" s="141"/>
      <c r="C389" s="221"/>
      <c r="D389" s="222"/>
      <c r="E389" s="203"/>
      <c r="F389" s="203"/>
      <c r="G389" s="203"/>
      <c r="H389" s="223"/>
      <c r="I389" s="223"/>
      <c r="J389" s="31"/>
      <c r="K389" s="203"/>
      <c r="L389" s="48"/>
      <c r="M389" s="224"/>
      <c r="N389" s="225"/>
      <c r="O389" s="226"/>
      <c r="P389" s="203"/>
      <c r="Q389" s="227"/>
      <c r="R389" s="228"/>
      <c r="S389" s="218"/>
    </row>
    <row r="390" spans="1:19" s="200" customFormat="1" ht="61.2" x14ac:dyDescent="0.2">
      <c r="A390" s="173" t="s">
        <v>100</v>
      </c>
      <c r="B390" s="141" t="s">
        <v>208</v>
      </c>
      <c r="C390" s="61" t="s">
        <v>101</v>
      </c>
      <c r="D390" s="61" t="s">
        <v>101</v>
      </c>
      <c r="E390" s="21" t="s">
        <v>102</v>
      </c>
      <c r="F390" s="30"/>
      <c r="G390" s="30"/>
      <c r="H390" s="202"/>
      <c r="I390" s="202"/>
      <c r="J390" s="31"/>
      <c r="K390" s="203"/>
      <c r="L390" s="162"/>
      <c r="M390" s="165"/>
      <c r="N390" s="206"/>
      <c r="O390" s="22"/>
      <c r="P390" s="30">
        <f>O390*K390</f>
        <v>0</v>
      </c>
      <c r="Q390" s="47"/>
      <c r="R390" s="199"/>
      <c r="S390" s="49"/>
    </row>
    <row r="391" spans="1:19" s="200" customFormat="1" ht="13.2" x14ac:dyDescent="0.2">
      <c r="A391" s="173"/>
      <c r="B391" s="141"/>
      <c r="C391" s="21"/>
      <c r="D391" s="207"/>
      <c r="E391" s="21" t="s">
        <v>114</v>
      </c>
      <c r="F391" s="30"/>
      <c r="G391" s="30"/>
      <c r="H391" s="202"/>
      <c r="I391" s="202"/>
      <c r="J391" s="31"/>
      <c r="K391" s="203"/>
      <c r="L391" s="162"/>
      <c r="M391" s="165"/>
      <c r="N391" s="206"/>
      <c r="O391" s="22"/>
      <c r="P391" s="30">
        <f>O391*K391</f>
        <v>0</v>
      </c>
      <c r="Q391" s="47"/>
      <c r="R391" s="199"/>
      <c r="S391" s="49"/>
    </row>
    <row r="392" spans="1:19" s="200" customFormat="1" ht="13.2" x14ac:dyDescent="0.2">
      <c r="A392" s="173"/>
      <c r="B392" s="141"/>
      <c r="C392" s="21"/>
      <c r="D392" s="207"/>
      <c r="E392" s="21" t="s">
        <v>118</v>
      </c>
      <c r="F392" s="30"/>
      <c r="G392" s="30"/>
      <c r="H392" s="202"/>
      <c r="I392" s="202"/>
      <c r="J392" s="31" t="s">
        <v>95</v>
      </c>
      <c r="K392" s="203">
        <f>62+15</f>
        <v>77</v>
      </c>
      <c r="L392" s="162"/>
      <c r="M392" s="165"/>
      <c r="N392" s="206"/>
      <c r="O392" s="22"/>
      <c r="P392" s="30"/>
      <c r="Q392" s="47"/>
      <c r="R392" s="199"/>
      <c r="S392" s="49"/>
    </row>
    <row r="393" spans="1:19" s="200" customFormat="1" ht="13.2" x14ac:dyDescent="0.2">
      <c r="A393" s="173"/>
      <c r="B393" s="141"/>
      <c r="C393" s="21"/>
      <c r="D393" s="61"/>
      <c r="E393" s="21" t="s">
        <v>119</v>
      </c>
      <c r="F393" s="30"/>
      <c r="G393" s="30"/>
      <c r="H393" s="202"/>
      <c r="I393" s="202"/>
      <c r="J393" s="31" t="s">
        <v>95</v>
      </c>
      <c r="K393" s="203">
        <f>55+15</f>
        <v>70</v>
      </c>
      <c r="L393" s="162"/>
      <c r="M393" s="165"/>
      <c r="N393" s="206"/>
      <c r="O393" s="22"/>
      <c r="P393" s="30"/>
      <c r="Q393" s="47"/>
      <c r="R393" s="199"/>
      <c r="S393" s="49"/>
    </row>
    <row r="394" spans="1:19" s="200" customFormat="1" ht="13.2" x14ac:dyDescent="0.2">
      <c r="A394" s="173"/>
      <c r="B394" s="141"/>
      <c r="C394" s="21"/>
      <c r="D394" s="61"/>
      <c r="E394" s="21" t="s">
        <v>120</v>
      </c>
      <c r="F394" s="30"/>
      <c r="G394" s="30"/>
      <c r="H394" s="202"/>
      <c r="I394" s="202"/>
      <c r="J394" s="31" t="s">
        <v>95</v>
      </c>
      <c r="K394" s="203">
        <f>48+15</f>
        <v>63</v>
      </c>
      <c r="L394" s="162"/>
      <c r="M394" s="165"/>
      <c r="N394" s="206"/>
      <c r="O394" s="22"/>
      <c r="P394" s="30"/>
      <c r="Q394" s="47"/>
      <c r="R394" s="199"/>
      <c r="S394" s="49"/>
    </row>
    <row r="395" spans="1:19" s="200" customFormat="1" ht="13.2" x14ac:dyDescent="0.2">
      <c r="A395" s="173"/>
      <c r="B395" s="141"/>
      <c r="C395" s="21"/>
      <c r="D395" s="61"/>
      <c r="E395" s="21" t="s">
        <v>121</v>
      </c>
      <c r="F395" s="30"/>
      <c r="G395" s="30"/>
      <c r="H395" s="202"/>
      <c r="I395" s="202"/>
      <c r="J395" s="31" t="s">
        <v>95</v>
      </c>
      <c r="K395" s="203">
        <f>58+15</f>
        <v>73</v>
      </c>
      <c r="L395" s="162"/>
      <c r="M395" s="165"/>
      <c r="N395" s="206"/>
      <c r="O395" s="22"/>
      <c r="P395" s="30"/>
      <c r="Q395" s="47"/>
      <c r="R395" s="199"/>
      <c r="S395" s="49"/>
    </row>
    <row r="396" spans="1:19" s="200" customFormat="1" ht="13.2" x14ac:dyDescent="0.2">
      <c r="A396" s="173"/>
      <c r="B396" s="141"/>
      <c r="C396" s="21"/>
      <c r="D396" s="61"/>
      <c r="E396" s="217" t="s">
        <v>103</v>
      </c>
      <c r="F396" s="30"/>
      <c r="G396" s="30"/>
      <c r="H396" s="202"/>
      <c r="I396" s="202"/>
      <c r="J396" s="31" t="s">
        <v>95</v>
      </c>
      <c r="K396" s="197">
        <v>-263</v>
      </c>
      <c r="L396" s="204"/>
      <c r="M396" s="205"/>
      <c r="N396" s="206"/>
      <c r="O396" s="22"/>
      <c r="P396" s="30"/>
      <c r="Q396" s="47"/>
      <c r="R396" s="199"/>
      <c r="S396" s="49"/>
    </row>
    <row r="397" spans="1:19" s="219" customFormat="1" ht="13.2" x14ac:dyDescent="0.25">
      <c r="A397" s="220"/>
      <c r="B397" s="141"/>
      <c r="C397" s="221"/>
      <c r="D397" s="61"/>
      <c r="E397" s="203" t="s">
        <v>74</v>
      </c>
      <c r="F397" s="203"/>
      <c r="G397" s="203"/>
      <c r="H397" s="223"/>
      <c r="I397" s="223"/>
      <c r="J397" s="31" t="s">
        <v>75</v>
      </c>
      <c r="K397" s="203">
        <f>ROUND(SUM(K391:K396),2)</f>
        <v>20</v>
      </c>
      <c r="L397" s="48">
        <v>10.81</v>
      </c>
      <c r="M397" s="224">
        <f>ROUND(PRODUCT(K397:L397),2)</f>
        <v>216.2</v>
      </c>
      <c r="N397" s="225"/>
      <c r="O397" s="226">
        <v>0.16</v>
      </c>
      <c r="P397" s="203">
        <f>O397*K397</f>
        <v>3.2</v>
      </c>
      <c r="Q397" s="227"/>
      <c r="R397" s="228"/>
      <c r="S397" s="218"/>
    </row>
    <row r="398" spans="1:19" customFormat="1" ht="13.2" x14ac:dyDescent="0.2">
      <c r="A398" s="173"/>
      <c r="B398" s="141"/>
      <c r="C398" s="208"/>
      <c r="D398" s="209"/>
      <c r="E398" s="30"/>
      <c r="F398" s="147"/>
      <c r="G398" s="147"/>
      <c r="H398" s="156"/>
      <c r="I398" s="156"/>
      <c r="J398" s="30"/>
      <c r="K398" s="176"/>
      <c r="L398" s="210"/>
      <c r="M398" s="178"/>
      <c r="N398" s="146"/>
      <c r="O398" s="22"/>
      <c r="P398" s="147"/>
      <c r="Q398" s="148"/>
      <c r="R398" s="179"/>
      <c r="S398" s="2"/>
    </row>
    <row r="399" spans="1:19" s="214" customFormat="1" ht="61.2" x14ac:dyDescent="0.2">
      <c r="A399" s="173"/>
      <c r="B399" s="141" t="s">
        <v>209</v>
      </c>
      <c r="C399" s="21"/>
      <c r="D399" s="61" t="s">
        <v>182</v>
      </c>
      <c r="E399" s="21" t="s">
        <v>183</v>
      </c>
      <c r="F399" s="181"/>
      <c r="G399" s="181"/>
      <c r="H399" s="182"/>
      <c r="I399" s="182"/>
      <c r="J399" s="183"/>
      <c r="K399" s="184"/>
      <c r="L399" s="193"/>
      <c r="M399" s="194"/>
      <c r="N399" s="195"/>
      <c r="O399" s="196"/>
      <c r="P399" s="181">
        <f>O399*K399</f>
        <v>0</v>
      </c>
      <c r="Q399" s="211"/>
      <c r="R399" s="212"/>
      <c r="S399" s="213"/>
    </row>
    <row r="400" spans="1:19" s="214" customFormat="1" ht="13.2" x14ac:dyDescent="0.2">
      <c r="A400" s="173"/>
      <c r="B400" s="141"/>
      <c r="C400" s="21"/>
      <c r="D400" s="155"/>
      <c r="E400" s="21" t="s">
        <v>17</v>
      </c>
      <c r="F400" s="181"/>
      <c r="G400" s="181"/>
      <c r="H400" s="182"/>
      <c r="I400" s="182"/>
      <c r="J400" s="183"/>
      <c r="K400" s="184"/>
      <c r="L400" s="193"/>
      <c r="M400" s="194"/>
      <c r="N400" s="195"/>
      <c r="O400" s="196"/>
      <c r="P400" s="181">
        <f>O400*K400</f>
        <v>0</v>
      </c>
      <c r="Q400" s="211"/>
      <c r="R400" s="212"/>
      <c r="S400" s="213"/>
    </row>
    <row r="401" spans="1:19" s="214" customFormat="1" ht="13.2" x14ac:dyDescent="0.2">
      <c r="A401" s="173"/>
      <c r="B401" s="141"/>
      <c r="C401" s="21"/>
      <c r="D401" s="155"/>
      <c r="E401" s="255" t="s">
        <v>184</v>
      </c>
      <c r="F401" s="147"/>
      <c r="G401" s="147">
        <v>312</v>
      </c>
      <c r="H401" s="156"/>
      <c r="I401" s="156"/>
      <c r="J401" s="147"/>
      <c r="K401" s="147">
        <f>ROUND(PRODUCT(F401:I401),2)</f>
        <v>312</v>
      </c>
      <c r="L401" s="157"/>
      <c r="M401" s="158"/>
      <c r="N401" s="147"/>
      <c r="O401" s="147"/>
      <c r="P401" s="147">
        <f>O401*K401</f>
        <v>0</v>
      </c>
      <c r="Q401" s="148"/>
      <c r="R401" s="212"/>
      <c r="S401" s="213"/>
    </row>
    <row r="402" spans="1:19" s="236" customFormat="1" ht="13.2" x14ac:dyDescent="0.25">
      <c r="A402" s="220"/>
      <c r="B402" s="141"/>
      <c r="C402" s="221"/>
      <c r="D402" s="231"/>
      <c r="E402" s="266" t="s">
        <v>149</v>
      </c>
      <c r="F402" s="176"/>
      <c r="G402" s="176"/>
      <c r="H402" s="232"/>
      <c r="I402" s="232"/>
      <c r="J402" s="176" t="s">
        <v>75</v>
      </c>
      <c r="K402" s="176">
        <f>ROUND(SUM(K400:K401),2)</f>
        <v>312</v>
      </c>
      <c r="L402" s="229">
        <v>3.59</v>
      </c>
      <c r="M402" s="79">
        <f>ROUND(PRODUCT(K402:L402),2)</f>
        <v>1120.08</v>
      </c>
      <c r="N402" s="176"/>
      <c r="O402" s="176">
        <v>0.05</v>
      </c>
      <c r="P402" s="176">
        <f>O402*K402</f>
        <v>15.600000000000001</v>
      </c>
      <c r="Q402" s="233"/>
      <c r="R402" s="234"/>
      <c r="S402" s="235"/>
    </row>
    <row r="403" spans="1:19" s="200" customFormat="1" ht="13.2" x14ac:dyDescent="0.2">
      <c r="A403" s="173"/>
      <c r="B403" s="141"/>
      <c r="C403" s="21"/>
      <c r="D403" s="61"/>
      <c r="E403" s="30"/>
      <c r="F403" s="30"/>
      <c r="G403" s="30"/>
      <c r="H403" s="202"/>
      <c r="I403" s="202"/>
      <c r="J403" s="31"/>
      <c r="K403" s="203"/>
      <c r="L403" s="204"/>
      <c r="M403" s="205"/>
      <c r="N403" s="206"/>
      <c r="O403" s="22"/>
      <c r="P403" s="30"/>
      <c r="Q403" s="47"/>
      <c r="R403" s="199"/>
      <c r="S403" s="49"/>
    </row>
    <row r="404" spans="1:19" s="200" customFormat="1" ht="30.6" x14ac:dyDescent="0.2">
      <c r="A404" s="173"/>
      <c r="B404" s="141" t="s">
        <v>210</v>
      </c>
      <c r="C404" s="21"/>
      <c r="D404" s="61" t="s">
        <v>122</v>
      </c>
      <c r="E404" s="21" t="s">
        <v>123</v>
      </c>
      <c r="F404" s="30"/>
      <c r="G404" s="30"/>
      <c r="H404" s="202"/>
      <c r="I404" s="202"/>
      <c r="J404" s="31"/>
      <c r="K404" s="203"/>
      <c r="L404" s="204"/>
      <c r="M404" s="205"/>
      <c r="N404" s="206"/>
      <c r="O404" s="22"/>
      <c r="P404" s="30">
        <f t="shared" ref="P404:P412" si="12">O404*K404</f>
        <v>0</v>
      </c>
      <c r="Q404" s="47"/>
      <c r="R404" s="199"/>
      <c r="S404" s="49"/>
    </row>
    <row r="405" spans="1:19" s="200" customFormat="1" ht="13.2" x14ac:dyDescent="0.2">
      <c r="A405" s="173"/>
      <c r="B405" s="141"/>
      <c r="C405" s="21"/>
      <c r="D405" s="61"/>
      <c r="E405" s="21" t="s">
        <v>17</v>
      </c>
      <c r="F405" s="30"/>
      <c r="G405" s="30"/>
      <c r="H405" s="202"/>
      <c r="I405" s="202"/>
      <c r="J405" s="31"/>
      <c r="K405" s="203"/>
      <c r="L405" s="204"/>
      <c r="M405" s="205"/>
      <c r="N405" s="206"/>
      <c r="O405" s="22"/>
      <c r="P405" s="30">
        <f t="shared" si="12"/>
        <v>0</v>
      </c>
      <c r="Q405" s="47"/>
      <c r="R405" s="199"/>
      <c r="S405" s="49"/>
    </row>
    <row r="406" spans="1:19" s="200" customFormat="1" ht="20.399999999999999" x14ac:dyDescent="0.2">
      <c r="A406" s="173"/>
      <c r="B406" s="141"/>
      <c r="C406" s="21"/>
      <c r="D406" s="61"/>
      <c r="E406" s="249" t="s">
        <v>126</v>
      </c>
      <c r="F406" s="30">
        <v>2</v>
      </c>
      <c r="G406" s="30">
        <v>150</v>
      </c>
      <c r="H406" s="202"/>
      <c r="I406" s="202"/>
      <c r="J406" s="31"/>
      <c r="K406" s="203">
        <v>300</v>
      </c>
      <c r="L406" s="204"/>
      <c r="M406" s="205"/>
      <c r="N406" s="206"/>
      <c r="O406" s="22"/>
      <c r="P406" s="30">
        <f t="shared" si="12"/>
        <v>0</v>
      </c>
      <c r="Q406" s="47"/>
      <c r="R406" s="199"/>
      <c r="S406" s="49"/>
    </row>
    <row r="407" spans="1:19" s="200" customFormat="1" ht="13.2" x14ac:dyDescent="0.2">
      <c r="A407" s="173"/>
      <c r="B407" s="141"/>
      <c r="C407" s="21"/>
      <c r="D407" s="61"/>
      <c r="E407" s="30" t="s">
        <v>74</v>
      </c>
      <c r="F407" s="30"/>
      <c r="G407" s="30"/>
      <c r="H407" s="202"/>
      <c r="I407" s="202"/>
      <c r="J407" s="31" t="s">
        <v>75</v>
      </c>
      <c r="K407" s="203">
        <f>ROUND(SUM(K404:K406),2)</f>
        <v>300</v>
      </c>
      <c r="L407" s="48">
        <v>16.95</v>
      </c>
      <c r="M407" s="79">
        <f>ROUND(PRODUCT(K407:L407),2)</f>
        <v>5085</v>
      </c>
      <c r="N407" s="225"/>
      <c r="O407" s="226">
        <v>0.24</v>
      </c>
      <c r="P407" s="203">
        <f t="shared" si="12"/>
        <v>72</v>
      </c>
      <c r="Q407" s="47"/>
      <c r="R407" s="199"/>
      <c r="S407" s="49"/>
    </row>
    <row r="408" spans="1:19" s="200" customFormat="1" ht="13.2" x14ac:dyDescent="0.2">
      <c r="A408" s="173"/>
      <c r="B408" s="141"/>
      <c r="C408" s="21"/>
      <c r="D408" s="61"/>
      <c r="E408" s="30"/>
      <c r="F408" s="30"/>
      <c r="G408" s="30"/>
      <c r="H408" s="202"/>
      <c r="I408" s="202"/>
      <c r="J408" s="31"/>
      <c r="K408" s="203"/>
      <c r="L408" s="48"/>
      <c r="M408" s="224"/>
      <c r="N408" s="225"/>
      <c r="O408" s="226"/>
      <c r="P408" s="203">
        <f t="shared" si="12"/>
        <v>0</v>
      </c>
      <c r="Q408" s="47"/>
      <c r="R408" s="199"/>
      <c r="S408" s="49"/>
    </row>
    <row r="409" spans="1:19" s="200" customFormat="1" ht="40.799999999999997" x14ac:dyDescent="0.2">
      <c r="A409" s="173"/>
      <c r="B409" s="141" t="s">
        <v>211</v>
      </c>
      <c r="C409" s="21"/>
      <c r="D409" s="61" t="s">
        <v>124</v>
      </c>
      <c r="E409" s="21" t="s">
        <v>125</v>
      </c>
      <c r="F409" s="30"/>
      <c r="G409" s="30"/>
      <c r="H409" s="202"/>
      <c r="I409" s="202"/>
      <c r="J409" s="31"/>
      <c r="K409" s="203"/>
      <c r="L409" s="48"/>
      <c r="M409" s="224"/>
      <c r="N409" s="225"/>
      <c r="O409" s="226"/>
      <c r="P409" s="203">
        <f t="shared" si="12"/>
        <v>0</v>
      </c>
      <c r="Q409" s="47"/>
      <c r="R409" s="199"/>
      <c r="S409" s="49"/>
    </row>
    <row r="410" spans="1:19" s="200" customFormat="1" ht="13.2" x14ac:dyDescent="0.2">
      <c r="A410" s="173"/>
      <c r="B410" s="141"/>
      <c r="C410" s="21"/>
      <c r="D410" s="61"/>
      <c r="E410" s="21" t="s">
        <v>17</v>
      </c>
      <c r="F410" s="30"/>
      <c r="G410" s="30"/>
      <c r="H410" s="202"/>
      <c r="I410" s="202"/>
      <c r="J410" s="31"/>
      <c r="K410" s="203"/>
      <c r="L410" s="48"/>
      <c r="M410" s="224"/>
      <c r="N410" s="225"/>
      <c r="O410" s="226"/>
      <c r="P410" s="203">
        <f t="shared" si="12"/>
        <v>0</v>
      </c>
      <c r="Q410" s="47"/>
      <c r="R410" s="199"/>
      <c r="S410" s="49"/>
    </row>
    <row r="411" spans="1:19" s="200" customFormat="1" ht="20.399999999999999" x14ac:dyDescent="0.2">
      <c r="A411" s="173"/>
      <c r="B411" s="141"/>
      <c r="C411" s="21"/>
      <c r="D411" s="207"/>
      <c r="E411" s="249" t="s">
        <v>126</v>
      </c>
      <c r="F411" s="30">
        <v>2</v>
      </c>
      <c r="G411" s="30">
        <v>150</v>
      </c>
      <c r="H411" s="202"/>
      <c r="I411" s="202"/>
      <c r="J411" s="31"/>
      <c r="K411" s="203">
        <v>300</v>
      </c>
      <c r="L411" s="48"/>
      <c r="M411" s="224"/>
      <c r="N411" s="225"/>
      <c r="O411" s="226"/>
      <c r="P411" s="203">
        <f t="shared" si="12"/>
        <v>0</v>
      </c>
      <c r="Q411" s="47"/>
      <c r="R411" s="199"/>
      <c r="S411" s="49"/>
    </row>
    <row r="412" spans="1:19" s="200" customFormat="1" ht="13.2" x14ac:dyDescent="0.2">
      <c r="A412" s="173"/>
      <c r="B412" s="141"/>
      <c r="C412" s="21"/>
      <c r="D412" s="207"/>
      <c r="E412" s="30" t="s">
        <v>74</v>
      </c>
      <c r="F412" s="30"/>
      <c r="G412" s="30"/>
      <c r="H412" s="202"/>
      <c r="I412" s="202"/>
      <c r="J412" s="31" t="s">
        <v>75</v>
      </c>
      <c r="K412" s="203">
        <f>ROUND(SUM(K409:K411),2)</f>
        <v>300</v>
      </c>
      <c r="L412" s="48">
        <v>24.3</v>
      </c>
      <c r="M412" s="79">
        <f>ROUND(PRODUCT(K412:L412),2)</f>
        <v>7290</v>
      </c>
      <c r="N412" s="225"/>
      <c r="O412" s="226">
        <v>0.35</v>
      </c>
      <c r="P412" s="203">
        <f t="shared" si="12"/>
        <v>105</v>
      </c>
      <c r="Q412" s="47"/>
      <c r="R412" s="199"/>
      <c r="S412" s="49"/>
    </row>
    <row r="413" spans="1:19" s="200" customFormat="1" ht="13.2" x14ac:dyDescent="0.2">
      <c r="A413" s="173"/>
      <c r="B413" s="141"/>
      <c r="C413" s="21"/>
      <c r="D413" s="207"/>
      <c r="E413" s="21"/>
      <c r="F413" s="30"/>
      <c r="G413" s="30"/>
      <c r="H413" s="202"/>
      <c r="I413" s="202"/>
      <c r="J413" s="31"/>
      <c r="K413" s="203"/>
      <c r="L413" s="204"/>
      <c r="M413" s="205"/>
      <c r="N413" s="206"/>
      <c r="O413" s="22"/>
      <c r="P413" s="30"/>
      <c r="Q413" s="47"/>
      <c r="R413" s="199"/>
      <c r="S413" s="49"/>
    </row>
    <row r="414" spans="1:19" s="254" customFormat="1" ht="61.2" x14ac:dyDescent="0.2">
      <c r="A414" s="173"/>
      <c r="B414" s="141" t="s">
        <v>212</v>
      </c>
      <c r="C414" s="61"/>
      <c r="D414" s="61" t="s">
        <v>127</v>
      </c>
      <c r="E414" s="61" t="s">
        <v>128</v>
      </c>
      <c r="F414" s="22"/>
      <c r="G414" s="22"/>
      <c r="H414" s="164"/>
      <c r="I414" s="164"/>
      <c r="J414" s="152"/>
      <c r="K414" s="226"/>
      <c r="L414" s="250"/>
      <c r="M414" s="251"/>
      <c r="N414" s="206"/>
      <c r="O414" s="22"/>
      <c r="P414" s="22"/>
      <c r="Q414" s="75"/>
      <c r="R414" s="252"/>
      <c r="S414" s="253"/>
    </row>
    <row r="415" spans="1:19" s="254" customFormat="1" ht="13.2" x14ac:dyDescent="0.2">
      <c r="A415" s="173"/>
      <c r="B415" s="141"/>
      <c r="C415" s="61"/>
      <c r="D415" s="61"/>
      <c r="E415" s="61" t="s">
        <v>319</v>
      </c>
      <c r="F415" s="22"/>
      <c r="G415" s="22"/>
      <c r="H415" s="164"/>
      <c r="I415" s="164"/>
      <c r="J415" s="152"/>
      <c r="K415" s="226"/>
      <c r="L415" s="250"/>
      <c r="M415" s="251"/>
      <c r="N415" s="206"/>
      <c r="O415" s="22"/>
      <c r="P415" s="22"/>
      <c r="Q415" s="75"/>
      <c r="R415" s="252"/>
      <c r="S415" s="253"/>
    </row>
    <row r="416" spans="1:19" s="254" customFormat="1" ht="13.2" x14ac:dyDescent="0.2">
      <c r="A416" s="173"/>
      <c r="B416" s="141"/>
      <c r="C416" s="61"/>
      <c r="D416" s="61"/>
      <c r="E416" s="22" t="s">
        <v>79</v>
      </c>
      <c r="F416" s="22">
        <v>18</v>
      </c>
      <c r="G416" s="22"/>
      <c r="H416" s="164"/>
      <c r="I416" s="164"/>
      <c r="J416" s="152" t="s">
        <v>80</v>
      </c>
      <c r="K416" s="226">
        <v>18</v>
      </c>
      <c r="L416" s="48">
        <v>53.77</v>
      </c>
      <c r="M416" s="224">
        <f>ROUND(PRODUCT(K416:L416),2)</f>
        <v>967.86</v>
      </c>
      <c r="N416" s="206"/>
      <c r="O416" s="22">
        <v>0.78</v>
      </c>
      <c r="P416" s="22">
        <f>O416*K416</f>
        <v>14.040000000000001</v>
      </c>
      <c r="Q416" s="75"/>
      <c r="R416" s="252"/>
      <c r="S416" s="253"/>
    </row>
    <row r="417" spans="1:19" s="254" customFormat="1" ht="13.2" x14ac:dyDescent="0.2">
      <c r="A417" s="173"/>
      <c r="B417" s="141"/>
      <c r="C417" s="61"/>
      <c r="D417" s="61"/>
      <c r="E417" s="22"/>
      <c r="F417" s="22"/>
      <c r="G417" s="22"/>
      <c r="H417" s="164"/>
      <c r="I417" s="164"/>
      <c r="J417" s="152"/>
      <c r="K417" s="226"/>
      <c r="L417" s="48"/>
      <c r="M417" s="224"/>
      <c r="N417" s="206"/>
      <c r="O417" s="22"/>
      <c r="P417" s="22"/>
      <c r="Q417" s="75"/>
      <c r="R417" s="252"/>
      <c r="S417" s="253"/>
    </row>
    <row r="418" spans="1:19" s="254" customFormat="1" ht="71.400000000000006" x14ac:dyDescent="0.2">
      <c r="A418" s="173"/>
      <c r="B418" s="141" t="s">
        <v>213</v>
      </c>
      <c r="C418" s="61"/>
      <c r="D418" s="61" t="s">
        <v>129</v>
      </c>
      <c r="E418" s="61" t="s">
        <v>320</v>
      </c>
      <c r="F418" s="22"/>
      <c r="G418" s="22"/>
      <c r="H418" s="164"/>
      <c r="I418" s="164"/>
      <c r="J418" s="152"/>
      <c r="K418" s="226"/>
      <c r="L418" s="48"/>
      <c r="M418" s="224"/>
      <c r="N418" s="206"/>
      <c r="O418" s="22"/>
      <c r="P418" s="22"/>
      <c r="Q418" s="75"/>
      <c r="R418" s="252"/>
      <c r="S418" s="253"/>
    </row>
    <row r="419" spans="1:19" s="254" customFormat="1" ht="13.2" x14ac:dyDescent="0.2">
      <c r="A419" s="173"/>
      <c r="B419" s="141"/>
      <c r="C419" s="61"/>
      <c r="D419" s="61"/>
      <c r="E419" s="61" t="s">
        <v>321</v>
      </c>
      <c r="F419" s="22">
        <v>1</v>
      </c>
      <c r="G419" s="22"/>
      <c r="H419" s="164"/>
      <c r="I419" s="164"/>
      <c r="J419" s="152"/>
      <c r="K419" s="226"/>
      <c r="L419" s="48"/>
      <c r="M419" s="224"/>
      <c r="N419" s="206"/>
      <c r="O419" s="22"/>
      <c r="P419" s="22"/>
      <c r="Q419" s="75"/>
      <c r="R419" s="252"/>
      <c r="S419" s="253"/>
    </row>
    <row r="420" spans="1:19" s="254" customFormat="1" ht="13.2" x14ac:dyDescent="0.2">
      <c r="A420" s="173"/>
      <c r="B420" s="141"/>
      <c r="C420" s="61"/>
      <c r="D420" s="61"/>
      <c r="E420" s="22" t="s">
        <v>79</v>
      </c>
      <c r="F420" s="22">
        <v>1</v>
      </c>
      <c r="G420" s="22"/>
      <c r="H420" s="164"/>
      <c r="I420" s="164"/>
      <c r="J420" s="152" t="s">
        <v>80</v>
      </c>
      <c r="K420" s="226">
        <v>1</v>
      </c>
      <c r="L420" s="48">
        <v>430.16</v>
      </c>
      <c r="M420" s="224">
        <f>ROUND(PRODUCT(K420:L420),2)</f>
        <v>430.16</v>
      </c>
      <c r="N420" s="206"/>
      <c r="O420" s="22">
        <v>6.21</v>
      </c>
      <c r="P420" s="22">
        <f>O420*K420</f>
        <v>6.21</v>
      </c>
      <c r="Q420" s="75"/>
      <c r="R420" s="252"/>
      <c r="S420" s="253"/>
    </row>
    <row r="421" spans="1:19" s="254" customFormat="1" ht="13.2" x14ac:dyDescent="0.2">
      <c r="A421" s="173"/>
      <c r="B421" s="141"/>
      <c r="C421" s="61"/>
      <c r="D421" s="61"/>
      <c r="E421" s="61"/>
      <c r="F421" s="22"/>
      <c r="G421" s="22"/>
      <c r="H421" s="164"/>
      <c r="I421" s="164"/>
      <c r="J421" s="152"/>
      <c r="K421" s="226"/>
      <c r="L421" s="48"/>
      <c r="M421" s="224"/>
      <c r="N421" s="206"/>
      <c r="O421" s="22"/>
      <c r="P421" s="22"/>
      <c r="Q421" s="75"/>
      <c r="R421" s="252"/>
      <c r="S421" s="253"/>
    </row>
    <row r="422" spans="1:19" s="254" customFormat="1" ht="71.400000000000006" x14ac:dyDescent="0.2">
      <c r="A422" s="173"/>
      <c r="B422" s="141" t="s">
        <v>214</v>
      </c>
      <c r="C422" s="61"/>
      <c r="D422" s="61" t="s">
        <v>132</v>
      </c>
      <c r="E422" s="61" t="s">
        <v>133</v>
      </c>
      <c r="F422" s="22"/>
      <c r="G422" s="22"/>
      <c r="H422" s="164"/>
      <c r="I422" s="164"/>
      <c r="J422" s="152"/>
      <c r="K422" s="226"/>
      <c r="L422" s="48"/>
      <c r="M422" s="224"/>
      <c r="N422" s="206"/>
      <c r="O422" s="22"/>
      <c r="P422" s="22"/>
      <c r="Q422" s="75"/>
      <c r="R422" s="252"/>
      <c r="S422" s="253"/>
    </row>
    <row r="423" spans="1:19" s="254" customFormat="1" ht="13.2" x14ac:dyDescent="0.2">
      <c r="A423" s="173"/>
      <c r="B423" s="141"/>
      <c r="C423" s="61"/>
      <c r="D423" s="61"/>
      <c r="E423" s="61" t="s">
        <v>322</v>
      </c>
      <c r="F423" s="22">
        <v>1</v>
      </c>
      <c r="G423" s="22"/>
      <c r="H423" s="164"/>
      <c r="I423" s="164"/>
      <c r="J423" s="152"/>
      <c r="K423" s="226"/>
      <c r="L423" s="48"/>
      <c r="M423" s="224"/>
      <c r="N423" s="206"/>
      <c r="O423" s="22"/>
      <c r="P423" s="22"/>
      <c r="Q423" s="75"/>
      <c r="R423" s="252"/>
      <c r="S423" s="253"/>
    </row>
    <row r="424" spans="1:19" s="254" customFormat="1" ht="13.2" x14ac:dyDescent="0.2">
      <c r="A424" s="173"/>
      <c r="B424" s="141"/>
      <c r="C424" s="61"/>
      <c r="D424" s="61"/>
      <c r="E424" s="22" t="s">
        <v>79</v>
      </c>
      <c r="F424" s="22">
        <v>1</v>
      </c>
      <c r="G424" s="22"/>
      <c r="H424" s="164"/>
      <c r="I424" s="164"/>
      <c r="J424" s="152" t="s">
        <v>80</v>
      </c>
      <c r="K424" s="226">
        <v>1</v>
      </c>
      <c r="L424" s="48">
        <v>581.4</v>
      </c>
      <c r="M424" s="224">
        <f>ROUND(PRODUCT(K424:L424),2)</f>
        <v>581.4</v>
      </c>
      <c r="N424" s="206"/>
      <c r="O424" s="22">
        <v>8.39</v>
      </c>
      <c r="P424" s="22">
        <f>O424*K424</f>
        <v>8.39</v>
      </c>
      <c r="Q424" s="75"/>
      <c r="R424" s="252"/>
      <c r="S424" s="253"/>
    </row>
    <row r="425" spans="1:19" s="254" customFormat="1" ht="13.2" x14ac:dyDescent="0.2">
      <c r="A425" s="173"/>
      <c r="B425" s="141"/>
      <c r="C425" s="61"/>
      <c r="D425" s="61"/>
      <c r="E425" s="61"/>
      <c r="F425" s="22"/>
      <c r="G425" s="22"/>
      <c r="H425" s="164"/>
      <c r="I425" s="164"/>
      <c r="J425" s="152"/>
      <c r="K425" s="226"/>
      <c r="L425" s="48"/>
      <c r="M425" s="224"/>
      <c r="N425" s="206"/>
      <c r="O425" s="22"/>
      <c r="P425" s="22"/>
      <c r="Q425" s="75"/>
      <c r="R425" s="252"/>
      <c r="S425" s="253"/>
    </row>
    <row r="426" spans="1:19" s="254" customFormat="1" ht="30.6" x14ac:dyDescent="0.2">
      <c r="A426" s="173"/>
      <c r="B426" s="141" t="s">
        <v>215</v>
      </c>
      <c r="C426" s="61"/>
      <c r="D426" s="61" t="s">
        <v>130</v>
      </c>
      <c r="E426" s="61" t="s">
        <v>131</v>
      </c>
      <c r="F426" s="22"/>
      <c r="G426" s="22"/>
      <c r="H426" s="164"/>
      <c r="I426" s="164"/>
      <c r="J426" s="152"/>
      <c r="K426" s="226"/>
      <c r="L426" s="48"/>
      <c r="M426" s="224"/>
      <c r="N426" s="206"/>
      <c r="O426" s="22"/>
      <c r="P426" s="22"/>
      <c r="Q426" s="75"/>
      <c r="R426" s="252"/>
      <c r="S426" s="253"/>
    </row>
    <row r="427" spans="1:19" s="254" customFormat="1" ht="13.2" x14ac:dyDescent="0.2">
      <c r="A427" s="173"/>
      <c r="B427" s="141"/>
      <c r="C427" s="61"/>
      <c r="D427" s="61"/>
      <c r="E427" s="61" t="s">
        <v>323</v>
      </c>
      <c r="F427" s="22">
        <v>1</v>
      </c>
      <c r="G427" s="22"/>
      <c r="H427" s="164"/>
      <c r="I427" s="164"/>
      <c r="J427" s="152"/>
      <c r="K427" s="226"/>
      <c r="L427" s="48"/>
      <c r="M427" s="224"/>
      <c r="N427" s="206"/>
      <c r="O427" s="22"/>
      <c r="P427" s="22"/>
      <c r="Q427" s="75"/>
      <c r="R427" s="252"/>
      <c r="S427" s="253"/>
    </row>
    <row r="428" spans="1:19" s="254" customFormat="1" ht="13.2" x14ac:dyDescent="0.2">
      <c r="A428" s="173"/>
      <c r="B428" s="141"/>
      <c r="C428" s="61"/>
      <c r="D428" s="61"/>
      <c r="E428" s="61" t="s">
        <v>324</v>
      </c>
      <c r="F428" s="22">
        <v>1</v>
      </c>
      <c r="G428" s="22"/>
      <c r="H428" s="164"/>
      <c r="I428" s="164"/>
      <c r="J428" s="152"/>
      <c r="K428" s="226"/>
      <c r="L428" s="48"/>
      <c r="M428" s="224"/>
      <c r="N428" s="206"/>
      <c r="O428" s="22"/>
      <c r="P428" s="22"/>
      <c r="Q428" s="75"/>
      <c r="R428" s="252"/>
      <c r="S428" s="253"/>
    </row>
    <row r="429" spans="1:19" s="254" customFormat="1" ht="13.2" x14ac:dyDescent="0.2">
      <c r="A429" s="173"/>
      <c r="B429" s="141"/>
      <c r="C429" s="61"/>
      <c r="D429" s="61"/>
      <c r="E429" s="61" t="s">
        <v>325</v>
      </c>
      <c r="F429" s="22">
        <v>1</v>
      </c>
      <c r="G429" s="22"/>
      <c r="H429" s="164"/>
      <c r="I429" s="164"/>
      <c r="J429" s="152"/>
      <c r="K429" s="226"/>
      <c r="L429" s="48"/>
      <c r="M429" s="224"/>
      <c r="N429" s="206"/>
      <c r="O429" s="22"/>
      <c r="P429" s="22"/>
      <c r="Q429" s="75"/>
      <c r="R429" s="252"/>
      <c r="S429" s="253"/>
    </row>
    <row r="430" spans="1:19" s="254" customFormat="1" ht="13.2" x14ac:dyDescent="0.2">
      <c r="A430" s="173"/>
      <c r="B430" s="141"/>
      <c r="C430" s="61"/>
      <c r="D430" s="61"/>
      <c r="E430" s="61" t="s">
        <v>326</v>
      </c>
      <c r="F430" s="22">
        <v>1</v>
      </c>
      <c r="G430" s="22"/>
      <c r="H430" s="164"/>
      <c r="I430" s="164"/>
      <c r="J430" s="152"/>
      <c r="K430" s="226"/>
      <c r="L430" s="48"/>
      <c r="M430" s="224"/>
      <c r="N430" s="206"/>
      <c r="O430" s="22"/>
      <c r="P430" s="22"/>
      <c r="Q430" s="75"/>
      <c r="R430" s="252"/>
      <c r="S430" s="253"/>
    </row>
    <row r="431" spans="1:19" s="254" customFormat="1" ht="13.2" x14ac:dyDescent="0.2">
      <c r="A431" s="173"/>
      <c r="B431" s="141"/>
      <c r="C431" s="61"/>
      <c r="D431" s="61"/>
      <c r="E431" s="61" t="s">
        <v>327</v>
      </c>
      <c r="F431" s="22">
        <v>1</v>
      </c>
      <c r="G431" s="22"/>
      <c r="H431" s="164"/>
      <c r="I431" s="164"/>
      <c r="J431" s="152"/>
      <c r="K431" s="226"/>
      <c r="L431" s="48"/>
      <c r="M431" s="224"/>
      <c r="N431" s="206"/>
      <c r="O431" s="22"/>
      <c r="P431" s="22"/>
      <c r="Q431" s="75"/>
      <c r="R431" s="252"/>
      <c r="S431" s="253"/>
    </row>
    <row r="432" spans="1:19" s="254" customFormat="1" ht="13.2" x14ac:dyDescent="0.2">
      <c r="A432" s="173"/>
      <c r="B432" s="141"/>
      <c r="C432" s="61"/>
      <c r="D432" s="61"/>
      <c r="E432" s="61" t="s">
        <v>328</v>
      </c>
      <c r="F432" s="22">
        <v>1</v>
      </c>
      <c r="G432" s="22"/>
      <c r="H432" s="164"/>
      <c r="I432" s="164"/>
      <c r="J432" s="152"/>
      <c r="K432" s="226"/>
      <c r="L432" s="48"/>
      <c r="M432" s="224"/>
      <c r="N432" s="206"/>
      <c r="O432" s="22"/>
      <c r="P432" s="22"/>
      <c r="Q432" s="75"/>
      <c r="R432" s="252"/>
      <c r="S432" s="253"/>
    </row>
    <row r="433" spans="1:19" s="254" customFormat="1" ht="13.2" x14ac:dyDescent="0.2">
      <c r="A433" s="173"/>
      <c r="B433" s="141"/>
      <c r="C433" s="61"/>
      <c r="D433" s="61"/>
      <c r="E433" s="61" t="s">
        <v>329</v>
      </c>
      <c r="F433" s="22">
        <v>1</v>
      </c>
      <c r="G433" s="22"/>
      <c r="H433" s="164"/>
      <c r="I433" s="164"/>
      <c r="J433" s="152"/>
      <c r="K433" s="226"/>
      <c r="L433" s="48"/>
      <c r="M433" s="224"/>
      <c r="N433" s="206"/>
      <c r="O433" s="22"/>
      <c r="P433" s="22"/>
      <c r="Q433" s="75"/>
      <c r="R433" s="252"/>
      <c r="S433" s="253"/>
    </row>
    <row r="434" spans="1:19" s="254" customFormat="1" ht="13.2" x14ac:dyDescent="0.2">
      <c r="A434" s="173"/>
      <c r="B434" s="141"/>
      <c r="C434" s="61"/>
      <c r="D434" s="61"/>
      <c r="E434" s="61" t="s">
        <v>330</v>
      </c>
      <c r="F434" s="22">
        <v>1</v>
      </c>
      <c r="G434" s="22"/>
      <c r="H434" s="164"/>
      <c r="I434" s="164"/>
      <c r="J434" s="152"/>
      <c r="K434" s="226"/>
      <c r="L434" s="48"/>
      <c r="M434" s="224"/>
      <c r="N434" s="206"/>
      <c r="O434" s="22"/>
      <c r="P434" s="22"/>
      <c r="Q434" s="75"/>
      <c r="R434" s="252"/>
      <c r="S434" s="253"/>
    </row>
    <row r="435" spans="1:19" s="254" customFormat="1" ht="13.2" x14ac:dyDescent="0.2">
      <c r="A435" s="173"/>
      <c r="B435" s="141"/>
      <c r="C435" s="61"/>
      <c r="D435" s="61"/>
      <c r="E435" s="61" t="s">
        <v>331</v>
      </c>
      <c r="F435" s="22">
        <v>1</v>
      </c>
      <c r="G435" s="22"/>
      <c r="H435" s="164"/>
      <c r="I435" s="164"/>
      <c r="J435" s="152"/>
      <c r="K435" s="226"/>
      <c r="L435" s="48"/>
      <c r="M435" s="224"/>
      <c r="N435" s="206"/>
      <c r="O435" s="22"/>
      <c r="P435" s="22"/>
      <c r="Q435" s="75"/>
      <c r="R435" s="252"/>
      <c r="S435" s="253"/>
    </row>
    <row r="436" spans="1:19" s="254" customFormat="1" ht="13.2" x14ac:dyDescent="0.2">
      <c r="A436" s="173"/>
      <c r="B436" s="141"/>
      <c r="C436" s="61"/>
      <c r="D436" s="61"/>
      <c r="E436" s="61" t="s">
        <v>332</v>
      </c>
      <c r="F436" s="22">
        <v>1</v>
      </c>
      <c r="G436" s="22"/>
      <c r="H436" s="164"/>
      <c r="I436" s="164"/>
      <c r="J436" s="152"/>
      <c r="K436" s="226"/>
      <c r="L436" s="48"/>
      <c r="M436" s="224"/>
      <c r="N436" s="206"/>
      <c r="O436" s="22"/>
      <c r="P436" s="22"/>
      <c r="Q436" s="75"/>
      <c r="R436" s="252"/>
      <c r="S436" s="253"/>
    </row>
    <row r="437" spans="1:19" s="254" customFormat="1" ht="13.2" x14ac:dyDescent="0.2">
      <c r="A437" s="173"/>
      <c r="B437" s="141"/>
      <c r="C437" s="61"/>
      <c r="D437" s="61"/>
      <c r="E437" s="61" t="s">
        <v>333</v>
      </c>
      <c r="F437" s="22">
        <v>1</v>
      </c>
      <c r="G437" s="22"/>
      <c r="H437" s="164"/>
      <c r="I437" s="164"/>
      <c r="J437" s="152"/>
      <c r="K437" s="226"/>
      <c r="L437" s="48"/>
      <c r="M437" s="224"/>
      <c r="N437" s="206"/>
      <c r="O437" s="22"/>
      <c r="P437" s="22"/>
      <c r="Q437" s="75"/>
      <c r="R437" s="252"/>
      <c r="S437" s="253"/>
    </row>
    <row r="438" spans="1:19" s="254" customFormat="1" ht="13.2" x14ac:dyDescent="0.2">
      <c r="A438" s="173"/>
      <c r="B438" s="141"/>
      <c r="C438" s="61"/>
      <c r="D438" s="61"/>
      <c r="E438" s="61" t="s">
        <v>334</v>
      </c>
      <c r="F438" s="22">
        <v>1</v>
      </c>
      <c r="G438" s="22"/>
      <c r="H438" s="164"/>
      <c r="I438" s="164"/>
      <c r="J438" s="152"/>
      <c r="K438" s="226"/>
      <c r="L438" s="48"/>
      <c r="M438" s="224"/>
      <c r="N438" s="206"/>
      <c r="O438" s="22"/>
      <c r="P438" s="22"/>
      <c r="Q438" s="75"/>
      <c r="R438" s="252"/>
      <c r="S438" s="253"/>
    </row>
    <row r="439" spans="1:19" s="254" customFormat="1" ht="13.2" x14ac:dyDescent="0.2">
      <c r="A439" s="173"/>
      <c r="B439" s="141"/>
      <c r="C439" s="61"/>
      <c r="D439" s="61"/>
      <c r="E439" s="61" t="s">
        <v>335</v>
      </c>
      <c r="F439" s="22">
        <v>1</v>
      </c>
      <c r="G439" s="22"/>
      <c r="H439" s="164"/>
      <c r="I439" s="164"/>
      <c r="J439" s="152"/>
      <c r="K439" s="226"/>
      <c r="L439" s="48"/>
      <c r="M439" s="224"/>
      <c r="N439" s="206"/>
      <c r="O439" s="22"/>
      <c r="P439" s="22"/>
      <c r="Q439" s="75"/>
      <c r="R439" s="252"/>
      <c r="S439" s="253"/>
    </row>
    <row r="440" spans="1:19" s="254" customFormat="1" ht="13.2" x14ac:dyDescent="0.2">
      <c r="A440" s="173"/>
      <c r="B440" s="141"/>
      <c r="C440" s="61"/>
      <c r="D440" s="61"/>
      <c r="E440" s="61" t="s">
        <v>336</v>
      </c>
      <c r="F440" s="22">
        <v>1</v>
      </c>
      <c r="G440" s="22"/>
      <c r="H440" s="164"/>
      <c r="I440" s="164"/>
      <c r="J440" s="152"/>
      <c r="K440" s="226"/>
      <c r="L440" s="48"/>
      <c r="M440" s="224"/>
      <c r="N440" s="206"/>
      <c r="O440" s="22"/>
      <c r="P440" s="22"/>
      <c r="Q440" s="75"/>
      <c r="R440" s="252"/>
      <c r="S440" s="253"/>
    </row>
    <row r="441" spans="1:19" s="254" customFormat="1" ht="13.2" x14ac:dyDescent="0.2">
      <c r="A441" s="173"/>
      <c r="B441" s="141"/>
      <c r="C441" s="61"/>
      <c r="D441" s="61"/>
      <c r="E441" s="61" t="s">
        <v>337</v>
      </c>
      <c r="F441" s="22">
        <v>1</v>
      </c>
      <c r="G441" s="22"/>
      <c r="H441" s="164"/>
      <c r="I441" s="164"/>
      <c r="J441" s="152"/>
      <c r="K441" s="226"/>
      <c r="L441" s="48"/>
      <c r="M441" s="224"/>
      <c r="N441" s="206"/>
      <c r="O441" s="22"/>
      <c r="P441" s="22"/>
      <c r="Q441" s="75"/>
      <c r="R441" s="252"/>
      <c r="S441" s="253"/>
    </row>
    <row r="442" spans="1:19" s="254" customFormat="1" ht="13.2" x14ac:dyDescent="0.2">
      <c r="A442" s="173"/>
      <c r="B442" s="141"/>
      <c r="C442" s="61"/>
      <c r="D442" s="61"/>
      <c r="E442" s="61" t="s">
        <v>338</v>
      </c>
      <c r="F442" s="22">
        <v>1</v>
      </c>
      <c r="G442" s="22"/>
      <c r="H442" s="164"/>
      <c r="I442" s="164"/>
      <c r="J442" s="152"/>
      <c r="K442" s="226"/>
      <c r="L442" s="48"/>
      <c r="M442" s="224"/>
      <c r="N442" s="206"/>
      <c r="O442" s="22"/>
      <c r="P442" s="22"/>
      <c r="Q442" s="75"/>
      <c r="R442" s="252"/>
      <c r="S442" s="253"/>
    </row>
    <row r="443" spans="1:19" s="254" customFormat="1" ht="13.2" x14ac:dyDescent="0.2">
      <c r="A443" s="173"/>
      <c r="B443" s="141"/>
      <c r="C443" s="61"/>
      <c r="D443" s="61"/>
      <c r="E443" s="22" t="s">
        <v>79</v>
      </c>
      <c r="F443" s="22">
        <v>1</v>
      </c>
      <c r="G443" s="22"/>
      <c r="H443" s="164"/>
      <c r="I443" s="164"/>
      <c r="J443" s="152" t="s">
        <v>80</v>
      </c>
      <c r="K443" s="203">
        <v>17</v>
      </c>
      <c r="L443" s="48">
        <v>124.6</v>
      </c>
      <c r="M443" s="79">
        <f>ROUND(PRODUCT(K443:L443),2)</f>
        <v>2118.1999999999998</v>
      </c>
      <c r="N443" s="206"/>
      <c r="O443" s="22">
        <v>1.8</v>
      </c>
      <c r="P443" s="22">
        <f>O443*K443</f>
        <v>30.6</v>
      </c>
      <c r="Q443" s="75"/>
      <c r="R443" s="252"/>
      <c r="S443" s="253"/>
    </row>
    <row r="444" spans="1:19" s="254" customFormat="1" ht="13.2" x14ac:dyDescent="0.2">
      <c r="A444" s="173"/>
      <c r="B444" s="141"/>
      <c r="C444" s="61"/>
      <c r="D444" s="61"/>
      <c r="E444" s="61"/>
      <c r="F444" s="22"/>
      <c r="G444" s="22"/>
      <c r="H444" s="164"/>
      <c r="I444" s="164"/>
      <c r="J444" s="152"/>
      <c r="K444" s="226"/>
      <c r="L444" s="48"/>
      <c r="M444" s="224"/>
      <c r="N444" s="206"/>
      <c r="O444" s="22"/>
      <c r="P444" s="22"/>
      <c r="Q444" s="75"/>
      <c r="R444" s="252"/>
      <c r="S444" s="253"/>
    </row>
    <row r="445" spans="1:19" s="254" customFormat="1" ht="61.2" x14ac:dyDescent="0.2">
      <c r="A445" s="173"/>
      <c r="B445" s="141" t="s">
        <v>216</v>
      </c>
      <c r="C445" s="61"/>
      <c r="D445" s="61" t="s">
        <v>153</v>
      </c>
      <c r="E445" s="61" t="s">
        <v>154</v>
      </c>
      <c r="F445" s="22"/>
      <c r="G445" s="22"/>
      <c r="H445" s="164"/>
      <c r="I445" s="164"/>
      <c r="J445" s="152"/>
      <c r="K445" s="226"/>
      <c r="L445" s="48"/>
      <c r="M445" s="224"/>
      <c r="N445" s="206"/>
      <c r="O445" s="22"/>
      <c r="P445" s="22"/>
      <c r="Q445" s="75"/>
      <c r="R445" s="252"/>
      <c r="S445" s="253"/>
    </row>
    <row r="446" spans="1:19" s="254" customFormat="1" ht="13.2" x14ac:dyDescent="0.2">
      <c r="A446" s="173"/>
      <c r="B446" s="141"/>
      <c r="C446" s="61"/>
      <c r="D446" s="61"/>
      <c r="E446" s="61" t="s">
        <v>323</v>
      </c>
      <c r="F446" s="22">
        <v>1</v>
      </c>
      <c r="G446" s="22"/>
      <c r="H446" s="164"/>
      <c r="I446" s="164"/>
      <c r="J446" s="152"/>
      <c r="K446" s="226"/>
      <c r="L446" s="48"/>
      <c r="M446" s="224"/>
      <c r="N446" s="206"/>
      <c r="O446" s="22"/>
      <c r="P446" s="22"/>
      <c r="Q446" s="75"/>
      <c r="R446" s="252"/>
      <c r="S446" s="253"/>
    </row>
    <row r="447" spans="1:19" s="254" customFormat="1" ht="13.2" x14ac:dyDescent="0.2">
      <c r="A447" s="173"/>
      <c r="B447" s="141"/>
      <c r="C447" s="61"/>
      <c r="D447" s="61"/>
      <c r="E447" s="61" t="s">
        <v>324</v>
      </c>
      <c r="F447" s="22">
        <v>1</v>
      </c>
      <c r="G447" s="22"/>
      <c r="H447" s="164"/>
      <c r="I447" s="164"/>
      <c r="J447" s="152"/>
      <c r="K447" s="226"/>
      <c r="L447" s="48"/>
      <c r="M447" s="224"/>
      <c r="N447" s="206"/>
      <c r="O447" s="22"/>
      <c r="P447" s="22"/>
      <c r="Q447" s="75"/>
      <c r="R447" s="252"/>
      <c r="S447" s="253"/>
    </row>
    <row r="448" spans="1:19" s="254" customFormat="1" ht="13.2" x14ac:dyDescent="0.2">
      <c r="A448" s="173"/>
      <c r="B448" s="141"/>
      <c r="C448" s="61"/>
      <c r="D448" s="61"/>
      <c r="E448" s="61" t="s">
        <v>325</v>
      </c>
      <c r="F448" s="22">
        <v>1</v>
      </c>
      <c r="G448" s="22"/>
      <c r="H448" s="164"/>
      <c r="I448" s="164"/>
      <c r="J448" s="152"/>
      <c r="K448" s="226"/>
      <c r="L448" s="48"/>
      <c r="M448" s="224"/>
      <c r="N448" s="206"/>
      <c r="O448" s="22"/>
      <c r="P448" s="22"/>
      <c r="Q448" s="75"/>
      <c r="R448" s="252"/>
      <c r="S448" s="253"/>
    </row>
    <row r="449" spans="1:19" s="254" customFormat="1" ht="13.2" x14ac:dyDescent="0.2">
      <c r="A449" s="173"/>
      <c r="B449" s="141"/>
      <c r="C449" s="61"/>
      <c r="D449" s="61"/>
      <c r="E449" s="61" t="s">
        <v>326</v>
      </c>
      <c r="F449" s="22">
        <v>1</v>
      </c>
      <c r="G449" s="22"/>
      <c r="H449" s="164"/>
      <c r="I449" s="164"/>
      <c r="J449" s="152"/>
      <c r="K449" s="226"/>
      <c r="L449" s="48"/>
      <c r="M449" s="224"/>
      <c r="N449" s="206"/>
      <c r="O449" s="22"/>
      <c r="P449" s="22"/>
      <c r="Q449" s="75"/>
      <c r="R449" s="252"/>
      <c r="S449" s="253"/>
    </row>
    <row r="450" spans="1:19" s="254" customFormat="1" ht="13.2" x14ac:dyDescent="0.2">
      <c r="A450" s="173"/>
      <c r="B450" s="141"/>
      <c r="C450" s="61"/>
      <c r="D450" s="61"/>
      <c r="E450" s="61" t="s">
        <v>327</v>
      </c>
      <c r="F450" s="22">
        <v>1</v>
      </c>
      <c r="G450" s="22"/>
      <c r="H450" s="164"/>
      <c r="I450" s="164"/>
      <c r="J450" s="152"/>
      <c r="K450" s="226"/>
      <c r="L450" s="48"/>
      <c r="M450" s="224"/>
      <c r="N450" s="206"/>
      <c r="O450" s="22"/>
      <c r="P450" s="22"/>
      <c r="Q450" s="75"/>
      <c r="R450" s="252"/>
      <c r="S450" s="253"/>
    </row>
    <row r="451" spans="1:19" s="254" customFormat="1" ht="13.2" x14ac:dyDescent="0.2">
      <c r="A451" s="173"/>
      <c r="B451" s="141"/>
      <c r="C451" s="61"/>
      <c r="D451" s="61"/>
      <c r="E451" s="61" t="s">
        <v>328</v>
      </c>
      <c r="F451" s="22">
        <v>1</v>
      </c>
      <c r="G451" s="22"/>
      <c r="H451" s="164"/>
      <c r="I451" s="164"/>
      <c r="J451" s="152"/>
      <c r="K451" s="226"/>
      <c r="L451" s="48"/>
      <c r="M451" s="224"/>
      <c r="N451" s="206"/>
      <c r="O451" s="22"/>
      <c r="P451" s="22"/>
      <c r="Q451" s="75"/>
      <c r="R451" s="252"/>
      <c r="S451" s="253"/>
    </row>
    <row r="452" spans="1:19" s="254" customFormat="1" ht="13.2" x14ac:dyDescent="0.2">
      <c r="A452" s="173"/>
      <c r="B452" s="141"/>
      <c r="C452" s="61"/>
      <c r="D452" s="61"/>
      <c r="E452" s="61" t="s">
        <v>329</v>
      </c>
      <c r="F452" s="22">
        <v>1</v>
      </c>
      <c r="G452" s="22"/>
      <c r="H452" s="164"/>
      <c r="I452" s="164"/>
      <c r="J452" s="152"/>
      <c r="K452" s="226"/>
      <c r="L452" s="48"/>
      <c r="M452" s="224"/>
      <c r="N452" s="206"/>
      <c r="O452" s="22"/>
      <c r="P452" s="22"/>
      <c r="Q452" s="75"/>
      <c r="R452" s="252"/>
      <c r="S452" s="253"/>
    </row>
    <row r="453" spans="1:19" s="254" customFormat="1" ht="13.2" x14ac:dyDescent="0.2">
      <c r="A453" s="173"/>
      <c r="B453" s="141"/>
      <c r="C453" s="61"/>
      <c r="D453" s="61"/>
      <c r="E453" s="61" t="s">
        <v>330</v>
      </c>
      <c r="F453" s="22">
        <v>1</v>
      </c>
      <c r="G453" s="22"/>
      <c r="H453" s="164"/>
      <c r="I453" s="164"/>
      <c r="J453" s="152"/>
      <c r="K453" s="226"/>
      <c r="L453" s="48"/>
      <c r="M453" s="224"/>
      <c r="N453" s="206"/>
      <c r="O453" s="22"/>
      <c r="P453" s="22"/>
      <c r="Q453" s="75"/>
      <c r="R453" s="252"/>
      <c r="S453" s="253"/>
    </row>
    <row r="454" spans="1:19" s="254" customFormat="1" ht="13.2" x14ac:dyDescent="0.2">
      <c r="A454" s="173"/>
      <c r="B454" s="141"/>
      <c r="C454" s="61"/>
      <c r="D454" s="61"/>
      <c r="E454" s="61" t="s">
        <v>331</v>
      </c>
      <c r="F454" s="22">
        <v>1</v>
      </c>
      <c r="G454" s="22"/>
      <c r="H454" s="164"/>
      <c r="I454" s="164"/>
      <c r="J454" s="152"/>
      <c r="K454" s="226"/>
      <c r="L454" s="48"/>
      <c r="M454" s="224"/>
      <c r="N454" s="206"/>
      <c r="O454" s="22"/>
      <c r="P454" s="22"/>
      <c r="Q454" s="75"/>
      <c r="R454" s="252"/>
      <c r="S454" s="253"/>
    </row>
    <row r="455" spans="1:19" s="254" customFormat="1" ht="13.2" x14ac:dyDescent="0.2">
      <c r="A455" s="173"/>
      <c r="B455" s="141"/>
      <c r="C455" s="61"/>
      <c r="D455" s="61"/>
      <c r="E455" s="61" t="s">
        <v>332</v>
      </c>
      <c r="F455" s="22">
        <v>1</v>
      </c>
      <c r="G455" s="22"/>
      <c r="H455" s="164"/>
      <c r="I455" s="164"/>
      <c r="J455" s="152"/>
      <c r="K455" s="226"/>
      <c r="L455" s="48"/>
      <c r="M455" s="224"/>
      <c r="N455" s="206"/>
      <c r="O455" s="22"/>
      <c r="P455" s="22"/>
      <c r="Q455" s="75"/>
      <c r="R455" s="252"/>
      <c r="S455" s="253"/>
    </row>
    <row r="456" spans="1:19" s="254" customFormat="1" ht="13.2" x14ac:dyDescent="0.2">
      <c r="A456" s="173"/>
      <c r="B456" s="141"/>
      <c r="C456" s="61"/>
      <c r="D456" s="61"/>
      <c r="E456" s="61" t="s">
        <v>333</v>
      </c>
      <c r="F456" s="22">
        <v>1</v>
      </c>
      <c r="G456" s="22"/>
      <c r="H456" s="164"/>
      <c r="I456" s="164"/>
      <c r="J456" s="152"/>
      <c r="K456" s="226"/>
      <c r="L456" s="48"/>
      <c r="M456" s="224"/>
      <c r="N456" s="206"/>
      <c r="O456" s="22"/>
      <c r="P456" s="22"/>
      <c r="Q456" s="75"/>
      <c r="R456" s="252"/>
      <c r="S456" s="253"/>
    </row>
    <row r="457" spans="1:19" s="254" customFormat="1" ht="13.2" x14ac:dyDescent="0.2">
      <c r="A457" s="173"/>
      <c r="B457" s="141"/>
      <c r="C457" s="61"/>
      <c r="D457" s="61"/>
      <c r="E457" s="61" t="s">
        <v>334</v>
      </c>
      <c r="F457" s="22">
        <v>1</v>
      </c>
      <c r="G457" s="22"/>
      <c r="H457" s="164"/>
      <c r="I457" s="164"/>
      <c r="J457" s="152"/>
      <c r="K457" s="226"/>
      <c r="L457" s="48"/>
      <c r="M457" s="224"/>
      <c r="N457" s="206"/>
      <c r="O457" s="22"/>
      <c r="P457" s="22"/>
      <c r="Q457" s="75"/>
      <c r="R457" s="252"/>
      <c r="S457" s="253"/>
    </row>
    <row r="458" spans="1:19" s="254" customFormat="1" ht="13.2" x14ac:dyDescent="0.2">
      <c r="A458" s="173"/>
      <c r="B458" s="141"/>
      <c r="C458" s="61"/>
      <c r="D458" s="61"/>
      <c r="E458" s="61" t="s">
        <v>335</v>
      </c>
      <c r="F458" s="22">
        <v>1</v>
      </c>
      <c r="G458" s="22"/>
      <c r="H458" s="164"/>
      <c r="I458" s="164"/>
      <c r="J458" s="152"/>
      <c r="K458" s="226"/>
      <c r="L458" s="48"/>
      <c r="M458" s="224"/>
      <c r="N458" s="206"/>
      <c r="O458" s="22"/>
      <c r="P458" s="22"/>
      <c r="Q458" s="75"/>
      <c r="R458" s="252"/>
      <c r="S458" s="253"/>
    </row>
    <row r="459" spans="1:19" s="254" customFormat="1" ht="13.2" x14ac:dyDescent="0.2">
      <c r="A459" s="173"/>
      <c r="B459" s="141"/>
      <c r="C459" s="61"/>
      <c r="D459" s="61"/>
      <c r="E459" s="61" t="s">
        <v>336</v>
      </c>
      <c r="F459" s="22">
        <v>1</v>
      </c>
      <c r="G459" s="22"/>
      <c r="H459" s="164"/>
      <c r="I459" s="164"/>
      <c r="J459" s="152"/>
      <c r="K459" s="226"/>
      <c r="L459" s="48"/>
      <c r="M459" s="224"/>
      <c r="N459" s="206"/>
      <c r="O459" s="22"/>
      <c r="P459" s="22"/>
      <c r="Q459" s="75"/>
      <c r="R459" s="252"/>
      <c r="S459" s="253"/>
    </row>
    <row r="460" spans="1:19" s="254" customFormat="1" ht="13.2" x14ac:dyDescent="0.2">
      <c r="A460" s="173"/>
      <c r="B460" s="141"/>
      <c r="C460" s="61"/>
      <c r="D460" s="61"/>
      <c r="E460" s="61" t="s">
        <v>337</v>
      </c>
      <c r="F460" s="22">
        <v>1</v>
      </c>
      <c r="G460" s="22"/>
      <c r="H460" s="164"/>
      <c r="I460" s="164"/>
      <c r="J460" s="152"/>
      <c r="K460" s="226"/>
      <c r="L460" s="48"/>
      <c r="M460" s="224"/>
      <c r="N460" s="206"/>
      <c r="O460" s="22"/>
      <c r="P460" s="22"/>
      <c r="Q460" s="75"/>
      <c r="R460" s="252"/>
      <c r="S460" s="253"/>
    </row>
    <row r="461" spans="1:19" s="254" customFormat="1" ht="13.2" x14ac:dyDescent="0.2">
      <c r="A461" s="173"/>
      <c r="B461" s="141"/>
      <c r="C461" s="61"/>
      <c r="D461" s="61"/>
      <c r="E461" s="61" t="s">
        <v>338</v>
      </c>
      <c r="F461" s="22">
        <v>1</v>
      </c>
      <c r="G461" s="22"/>
      <c r="H461" s="164"/>
      <c r="I461" s="164"/>
      <c r="J461" s="152"/>
      <c r="K461" s="226"/>
      <c r="L461" s="48"/>
      <c r="M461" s="224"/>
      <c r="N461" s="206"/>
      <c r="O461" s="22"/>
      <c r="P461" s="22"/>
      <c r="Q461" s="75"/>
      <c r="R461" s="252"/>
      <c r="S461" s="253"/>
    </row>
    <row r="462" spans="1:19" s="254" customFormat="1" ht="13.2" x14ac:dyDescent="0.2">
      <c r="A462" s="173"/>
      <c r="B462" s="141"/>
      <c r="C462" s="61"/>
      <c r="D462" s="61"/>
      <c r="E462" s="22" t="s">
        <v>79</v>
      </c>
      <c r="F462" s="22">
        <v>1</v>
      </c>
      <c r="G462" s="22"/>
      <c r="H462" s="164"/>
      <c r="I462" s="164"/>
      <c r="J462" s="152" t="s">
        <v>80</v>
      </c>
      <c r="K462" s="203">
        <v>17</v>
      </c>
      <c r="L462" s="48">
        <v>109.68</v>
      </c>
      <c r="M462" s="79">
        <f>ROUND(PRODUCT(K462:L462),2)</f>
        <v>1864.56</v>
      </c>
      <c r="N462" s="206"/>
      <c r="O462" s="22">
        <v>1.8</v>
      </c>
      <c r="P462" s="22">
        <f>O462*K462</f>
        <v>30.6</v>
      </c>
      <c r="Q462" s="75"/>
      <c r="R462" s="252"/>
      <c r="S462" s="253"/>
    </row>
    <row r="463" spans="1:19" s="254" customFormat="1" ht="13.2" x14ac:dyDescent="0.2">
      <c r="A463" s="173"/>
      <c r="B463" s="141"/>
      <c r="C463" s="61"/>
      <c r="D463" s="61"/>
      <c r="E463" s="61"/>
      <c r="F463" s="22"/>
      <c r="G463" s="22"/>
      <c r="H463" s="164"/>
      <c r="I463" s="164"/>
      <c r="J463" s="152"/>
      <c r="K463" s="226"/>
      <c r="L463" s="48"/>
      <c r="M463" s="224"/>
      <c r="N463" s="206"/>
      <c r="O463" s="22"/>
      <c r="P463" s="22"/>
      <c r="Q463" s="75"/>
      <c r="R463" s="252"/>
      <c r="S463" s="253"/>
    </row>
    <row r="464" spans="1:19" s="49" customFormat="1" ht="26.4" x14ac:dyDescent="0.2">
      <c r="B464" s="297" t="s">
        <v>217</v>
      </c>
      <c r="C464" s="65"/>
      <c r="D464" s="66"/>
      <c r="E464" s="28" t="str">
        <f>CONCATENATE("Totale fase ",E295)</f>
        <v>Totale fase ADEGUAMENTI IMPIANTI ELETTRICI</v>
      </c>
      <c r="F464" s="134"/>
      <c r="G464" s="118"/>
      <c r="H464" s="118"/>
      <c r="I464" s="118"/>
      <c r="J464" s="67"/>
      <c r="K464" s="81"/>
      <c r="L464" s="68"/>
      <c r="M464" s="92"/>
      <c r="N464" s="296">
        <f>SUM(M296:M463)</f>
        <v>29919.060000000005</v>
      </c>
      <c r="O464" s="69"/>
      <c r="P464" s="70"/>
      <c r="Q464" s="71">
        <f>SUM(P296:P463)</f>
        <v>440.16</v>
      </c>
    </row>
    <row r="465" spans="2:17" ht="16.8" customHeight="1" thickBot="1" x14ac:dyDescent="0.25">
      <c r="B465" s="340"/>
      <c r="C465" s="341"/>
      <c r="D465" s="341"/>
      <c r="E465" s="341"/>
      <c r="F465" s="341"/>
      <c r="G465" s="341"/>
      <c r="H465" s="341"/>
      <c r="I465" s="341"/>
      <c r="J465" s="341"/>
      <c r="K465" s="341"/>
      <c r="L465" s="341"/>
      <c r="M465" s="341"/>
      <c r="N465" s="341"/>
      <c r="O465" s="341"/>
      <c r="P465" s="341"/>
      <c r="Q465" s="342"/>
    </row>
    <row r="466" spans="2:17" s="302" customFormat="1" ht="21" customHeight="1" thickTop="1" thickBot="1" x14ac:dyDescent="0.25">
      <c r="B466" s="298"/>
      <c r="C466" s="299"/>
      <c r="D466" s="300"/>
      <c r="E466" s="301" t="s">
        <v>16</v>
      </c>
      <c r="F466" s="337"/>
      <c r="G466" s="338"/>
      <c r="H466" s="338"/>
      <c r="I466" s="338"/>
      <c r="J466" s="338"/>
      <c r="K466" s="338"/>
      <c r="L466" s="338"/>
      <c r="M466" s="339"/>
      <c r="N466" s="303">
        <f>SUM(N5:N464)</f>
        <v>193417.29000000004</v>
      </c>
      <c r="O466" s="343"/>
      <c r="P466" s="344"/>
      <c r="Q466" s="304">
        <f>Q52+Q74+Q112+Q209+Q293+Q464</f>
        <v>13403.688996000001</v>
      </c>
    </row>
    <row r="467" spans="2:17" ht="12.6" hidden="1" thickTop="1" thickBot="1" x14ac:dyDescent="0.25">
      <c r="B467" s="58"/>
      <c r="C467" s="10"/>
      <c r="D467" s="10"/>
      <c r="E467" s="15"/>
      <c r="F467" s="135"/>
      <c r="G467" s="122"/>
      <c r="H467" s="122"/>
      <c r="I467" s="122"/>
      <c r="J467" s="15"/>
      <c r="K467" s="82"/>
      <c r="L467" s="15"/>
      <c r="M467" s="94"/>
      <c r="N467" s="82"/>
      <c r="O467" s="52"/>
      <c r="P467" s="52"/>
      <c r="Q467" s="53"/>
    </row>
    <row r="468" spans="2:17" ht="12" hidden="1" thickTop="1" x14ac:dyDescent="0.2">
      <c r="B468" s="58"/>
      <c r="C468" s="10"/>
      <c r="D468" s="10"/>
      <c r="E468" s="32" t="s">
        <v>38</v>
      </c>
      <c r="F468" s="136"/>
      <c r="G468" s="123"/>
      <c r="H468" s="123"/>
      <c r="I468" s="123"/>
      <c r="J468" s="34"/>
      <c r="K468" s="83"/>
      <c r="L468" s="33"/>
      <c r="M468" s="95" t="s">
        <v>39</v>
      </c>
      <c r="N468" s="101">
        <f>N466</f>
        <v>193417.29000000004</v>
      </c>
      <c r="O468" s="52"/>
      <c r="P468" s="52"/>
      <c r="Q468" s="53"/>
    </row>
    <row r="469" spans="2:17" ht="11.4" hidden="1" x14ac:dyDescent="0.2">
      <c r="B469" s="58"/>
      <c r="C469" s="10"/>
      <c r="D469" s="10"/>
      <c r="E469" s="35" t="s">
        <v>36</v>
      </c>
      <c r="F469" s="137"/>
      <c r="G469" s="124"/>
      <c r="H469" s="124"/>
      <c r="I469" s="124"/>
      <c r="J469" s="37"/>
      <c r="K469" s="84"/>
      <c r="L469" s="36"/>
      <c r="M469" s="96" t="s">
        <v>39</v>
      </c>
      <c r="N469" s="102">
        <f>Q466</f>
        <v>13403.688996000001</v>
      </c>
      <c r="O469" s="52"/>
      <c r="P469" s="52"/>
      <c r="Q469" s="53"/>
    </row>
    <row r="470" spans="2:17" ht="12" hidden="1" thickBot="1" x14ac:dyDescent="0.25">
      <c r="B470" s="58"/>
      <c r="C470" s="10"/>
      <c r="D470" s="10"/>
      <c r="E470" s="38" t="s">
        <v>37</v>
      </c>
      <c r="F470" s="138"/>
      <c r="G470" s="125"/>
      <c r="H470" s="125"/>
      <c r="I470" s="125"/>
      <c r="J470" s="40"/>
      <c r="K470" s="85"/>
      <c r="L470" s="39"/>
      <c r="M470" s="97" t="s">
        <v>39</v>
      </c>
      <c r="N470" s="103">
        <f>N468+N469</f>
        <v>206820.97899600005</v>
      </c>
      <c r="O470" s="52"/>
      <c r="P470" s="52"/>
      <c r="Q470" s="53"/>
    </row>
    <row r="471" spans="2:17" ht="10.8" hidden="1" thickTop="1" x14ac:dyDescent="0.2">
      <c r="B471" s="58"/>
      <c r="C471" s="10"/>
      <c r="D471" s="10"/>
      <c r="E471" s="55"/>
      <c r="F471" s="139"/>
      <c r="G471" s="126"/>
      <c r="H471" s="126"/>
      <c r="I471" s="126"/>
      <c r="J471" s="11"/>
      <c r="K471" s="86"/>
      <c r="L471" s="12"/>
      <c r="N471" s="104"/>
      <c r="O471" s="17"/>
      <c r="P471" s="16"/>
      <c r="Q471" s="41"/>
    </row>
    <row r="472" spans="2:17" ht="12" hidden="1" thickBot="1" x14ac:dyDescent="0.25">
      <c r="B472" s="58"/>
      <c r="C472" s="10"/>
      <c r="D472" s="10"/>
      <c r="E472" s="54" t="s">
        <v>50</v>
      </c>
      <c r="F472" s="138"/>
      <c r="G472" s="125"/>
      <c r="H472" s="125"/>
      <c r="I472" s="125"/>
      <c r="J472" s="40"/>
      <c r="K472" s="85"/>
      <c r="L472" s="39"/>
      <c r="M472" s="97" t="s">
        <v>39</v>
      </c>
      <c r="N472" s="103">
        <f>N468*(1-0.50999)+N469</f>
        <v>108180.09526890001</v>
      </c>
      <c r="O472" s="13"/>
      <c r="P472" s="14"/>
      <c r="Q472" s="45"/>
    </row>
    <row r="473" spans="2:17" ht="10.5" hidden="1" customHeight="1" thickTop="1" x14ac:dyDescent="0.2">
      <c r="B473" s="59"/>
      <c r="C473" s="8"/>
      <c r="D473" s="7"/>
      <c r="E473" s="331"/>
      <c r="F473" s="331"/>
      <c r="G473" s="331"/>
      <c r="H473" s="331"/>
      <c r="I473" s="331"/>
      <c r="J473" s="331"/>
      <c r="K473" s="331"/>
      <c r="L473" s="331"/>
      <c r="M473" s="331"/>
      <c r="N473" s="331"/>
      <c r="O473" s="9"/>
      <c r="P473" s="7"/>
      <c r="Q473" s="46"/>
    </row>
    <row r="474" spans="2:17" ht="10.8" thickTop="1" x14ac:dyDescent="0.2">
      <c r="B474" s="59"/>
      <c r="C474" s="8"/>
      <c r="E474" s="331"/>
      <c r="F474" s="331"/>
      <c r="G474" s="331"/>
      <c r="H474" s="331"/>
      <c r="I474" s="331"/>
      <c r="J474" s="331"/>
      <c r="K474" s="331"/>
      <c r="L474" s="331"/>
      <c r="M474" s="331"/>
      <c r="N474" s="331"/>
      <c r="O474" s="2"/>
    </row>
    <row r="475" spans="2:17" x14ac:dyDescent="0.2">
      <c r="E475" s="331"/>
      <c r="F475" s="331"/>
      <c r="G475" s="331"/>
      <c r="H475" s="331"/>
      <c r="I475" s="331"/>
      <c r="J475" s="331"/>
      <c r="K475" s="331"/>
      <c r="L475" s="331"/>
      <c r="M475" s="331"/>
      <c r="N475" s="331"/>
      <c r="O475" s="2"/>
    </row>
  </sheetData>
  <mergeCells count="10">
    <mergeCell ref="E473:N475"/>
    <mergeCell ref="B1:E1"/>
    <mergeCell ref="B294:Q294"/>
    <mergeCell ref="B75:Q75"/>
    <mergeCell ref="B53:Q53"/>
    <mergeCell ref="B210:Q210"/>
    <mergeCell ref="B113:Q113"/>
    <mergeCell ref="F466:M466"/>
    <mergeCell ref="B465:Q465"/>
    <mergeCell ref="O466:P466"/>
  </mergeCells>
  <phoneticPr fontId="0" type="noConversion"/>
  <conditionalFormatting sqref="E591:E64769">
    <cfRule type="expression" dxfId="223" priority="1130" stopIfTrue="1">
      <formula>#REF!="1"</formula>
    </cfRule>
    <cfRule type="expression" dxfId="222" priority="1131" stopIfTrue="1">
      <formula>#REF!="2"</formula>
    </cfRule>
    <cfRule type="expression" dxfId="221" priority="1132" stopIfTrue="1">
      <formula>#REF!="3"</formula>
    </cfRule>
  </conditionalFormatting>
  <conditionalFormatting sqref="F591:J64769">
    <cfRule type="expression" dxfId="220" priority="1133" stopIfTrue="1">
      <formula>#REF!="3"</formula>
    </cfRule>
  </conditionalFormatting>
  <conditionalFormatting sqref="K591:K64769">
    <cfRule type="expression" dxfId="219" priority="1134" stopIfTrue="1">
      <formula>#REF!="1"</formula>
    </cfRule>
    <cfRule type="expression" dxfId="218" priority="1135" stopIfTrue="1">
      <formula>#REF!="3"</formula>
    </cfRule>
    <cfRule type="expression" dxfId="217" priority="1136" stopIfTrue="1">
      <formula>_OIP1="3"</formula>
    </cfRule>
  </conditionalFormatting>
  <conditionalFormatting sqref="E2">
    <cfRule type="expression" dxfId="216" priority="1137" stopIfTrue="1">
      <formula>#REF!="1"</formula>
    </cfRule>
    <cfRule type="expression" dxfId="215" priority="1138" stopIfTrue="1">
      <formula>#REF!="2"</formula>
    </cfRule>
    <cfRule type="expression" dxfId="214" priority="1139" stopIfTrue="1">
      <formula>#REF!="3"</formula>
    </cfRule>
  </conditionalFormatting>
  <conditionalFormatting sqref="E3">
    <cfRule type="expression" dxfId="213" priority="1140" stopIfTrue="1">
      <formula>#REF!="1"</formula>
    </cfRule>
    <cfRule type="expression" dxfId="212" priority="1141" stopIfTrue="1">
      <formula>#REF!="2"</formula>
    </cfRule>
    <cfRule type="expression" dxfId="211" priority="1142" stopIfTrue="1">
      <formula>#REF!="3"</formula>
    </cfRule>
  </conditionalFormatting>
  <conditionalFormatting sqref="F2:J2 H3:J3">
    <cfRule type="expression" dxfId="210" priority="1143" stopIfTrue="1">
      <formula>#REF!="3"</formula>
    </cfRule>
  </conditionalFormatting>
  <conditionalFormatting sqref="F3:G3">
    <cfRule type="expression" dxfId="209" priority="1145" stopIfTrue="1">
      <formula>#REF!="3"</formula>
    </cfRule>
  </conditionalFormatting>
  <conditionalFormatting sqref="K2:Q2">
    <cfRule type="expression" dxfId="208" priority="1146" stopIfTrue="1">
      <formula>#REF!="1"</formula>
    </cfRule>
    <cfRule type="expression" dxfId="207" priority="1147" stopIfTrue="1">
      <formula>#REF!="3"</formula>
    </cfRule>
    <cfRule type="expression" dxfId="206" priority="1148" stopIfTrue="1">
      <formula>_OIP1="3"</formula>
    </cfRule>
  </conditionalFormatting>
  <conditionalFormatting sqref="K3:Q3">
    <cfRule type="expression" dxfId="205" priority="1149" stopIfTrue="1">
      <formula>#REF!="1"</formula>
    </cfRule>
    <cfRule type="expression" dxfId="204" priority="1150" stopIfTrue="1">
      <formula>#REF!="3"</formula>
    </cfRule>
    <cfRule type="expression" dxfId="203" priority="1151" stopIfTrue="1">
      <formula>_OIP1="3"</formula>
    </cfRule>
  </conditionalFormatting>
  <conditionalFormatting sqref="K8 K215 K230 K324:K325 K58 K346:K350 K103:K107">
    <cfRule type="expression" dxfId="202" priority="865" stopIfTrue="1">
      <formula>P8="1"</formula>
    </cfRule>
    <cfRule type="expression" dxfId="201" priority="866" stopIfTrue="1">
      <formula>P8="3"</formula>
    </cfRule>
    <cfRule type="expression" dxfId="200" priority="867" stopIfTrue="1">
      <formula>K8&lt;0</formula>
    </cfRule>
  </conditionalFormatting>
  <conditionalFormatting sqref="K5">
    <cfRule type="expression" dxfId="199" priority="851" stopIfTrue="1">
      <formula>P5="1"</formula>
    </cfRule>
    <cfRule type="expression" dxfId="198" priority="852" stopIfTrue="1">
      <formula>P5="3"</formula>
    </cfRule>
    <cfRule type="expression" dxfId="197" priority="853" stopIfTrue="1">
      <formula>K5&lt;0</formula>
    </cfRule>
  </conditionalFormatting>
  <conditionalFormatting sqref="O52">
    <cfRule type="expression" dxfId="196" priority="796">
      <formula>S52="3"</formula>
    </cfRule>
  </conditionalFormatting>
  <conditionalFormatting sqref="O52">
    <cfRule type="expression" dxfId="195" priority="795">
      <formula>S52="3"</formula>
    </cfRule>
  </conditionalFormatting>
  <conditionalFormatting sqref="O52">
    <cfRule type="expression" dxfId="194" priority="794">
      <formula>S52="3"</formula>
    </cfRule>
  </conditionalFormatting>
  <conditionalFormatting sqref="O52:Q52">
    <cfRule type="expression" dxfId="193" priority="793">
      <formula>S52="3"</formula>
    </cfRule>
  </conditionalFormatting>
  <conditionalFormatting sqref="O52:Q52">
    <cfRule type="expression" dxfId="192" priority="792">
      <formula>S52="3"</formula>
    </cfRule>
  </conditionalFormatting>
  <conditionalFormatting sqref="O52:Q52">
    <cfRule type="expression" dxfId="191" priority="791">
      <formula>S52="3"</formula>
    </cfRule>
  </conditionalFormatting>
  <conditionalFormatting sqref="K20">
    <cfRule type="expression" dxfId="190" priority="334" stopIfTrue="1">
      <formula>P20="1"</formula>
    </cfRule>
    <cfRule type="expression" dxfId="189" priority="335" stopIfTrue="1">
      <formula>P20="3"</formula>
    </cfRule>
    <cfRule type="expression" dxfId="188" priority="336" stopIfTrue="1">
      <formula>K20&lt;0</formula>
    </cfRule>
  </conditionalFormatting>
  <conditionalFormatting sqref="K14">
    <cfRule type="expression" dxfId="187" priority="331" stopIfTrue="1">
      <formula>P14="1"</formula>
    </cfRule>
    <cfRule type="expression" dxfId="186" priority="332" stopIfTrue="1">
      <formula>P14="3"</formula>
    </cfRule>
    <cfRule type="expression" dxfId="185" priority="333" stopIfTrue="1">
      <formula>K14&lt;0</formula>
    </cfRule>
  </conditionalFormatting>
  <conditionalFormatting sqref="K33">
    <cfRule type="expression" dxfId="184" priority="328" stopIfTrue="1">
      <formula>P33="1"</formula>
    </cfRule>
    <cfRule type="expression" dxfId="183" priority="329" stopIfTrue="1">
      <formula>P33="3"</formula>
    </cfRule>
    <cfRule type="expression" dxfId="182" priority="330" stopIfTrue="1">
      <formula>K33&lt;0</formula>
    </cfRule>
  </conditionalFormatting>
  <conditionalFormatting sqref="K55">
    <cfRule type="expression" dxfId="181" priority="322" stopIfTrue="1">
      <formula>P55="1"</formula>
    </cfRule>
    <cfRule type="expression" dxfId="180" priority="323" stopIfTrue="1">
      <formula>P55="3"</formula>
    </cfRule>
    <cfRule type="expression" dxfId="179" priority="324" stopIfTrue="1">
      <formula>K55&lt;0</formula>
    </cfRule>
  </conditionalFormatting>
  <conditionalFormatting sqref="O74">
    <cfRule type="expression" dxfId="178" priority="321">
      <formula>S74="3"</formula>
    </cfRule>
  </conditionalFormatting>
  <conditionalFormatting sqref="O74">
    <cfRule type="expression" dxfId="177" priority="320">
      <formula>S74="3"</formula>
    </cfRule>
  </conditionalFormatting>
  <conditionalFormatting sqref="O74">
    <cfRule type="expression" dxfId="176" priority="319">
      <formula>S74="3"</formula>
    </cfRule>
  </conditionalFormatting>
  <conditionalFormatting sqref="O74:Q74">
    <cfRule type="expression" dxfId="175" priority="318">
      <formula>S74="3"</formula>
    </cfRule>
  </conditionalFormatting>
  <conditionalFormatting sqref="O74:Q74">
    <cfRule type="expression" dxfId="174" priority="317">
      <formula>S74="3"</formula>
    </cfRule>
  </conditionalFormatting>
  <conditionalFormatting sqref="O74:Q74">
    <cfRule type="expression" dxfId="173" priority="316">
      <formula>S74="3"</formula>
    </cfRule>
  </conditionalFormatting>
  <conditionalFormatting sqref="K65">
    <cfRule type="expression" dxfId="172" priority="313" stopIfTrue="1">
      <formula>P65="1"</formula>
    </cfRule>
    <cfRule type="expression" dxfId="171" priority="314" stopIfTrue="1">
      <formula>P65="3"</formula>
    </cfRule>
    <cfRule type="expression" dxfId="170" priority="315" stopIfTrue="1">
      <formula>K65&lt;0</formula>
    </cfRule>
  </conditionalFormatting>
  <conditionalFormatting sqref="F67:F68 F70">
    <cfRule type="expression" dxfId="169" priority="303" stopIfTrue="1">
      <formula>K67&lt;0</formula>
    </cfRule>
  </conditionalFormatting>
  <conditionalFormatting sqref="G67:G68 G70">
    <cfRule type="expression" dxfId="168" priority="302" stopIfTrue="1">
      <formula>K67&lt;0</formula>
    </cfRule>
  </conditionalFormatting>
  <conditionalFormatting sqref="H67:H68 H70">
    <cfRule type="expression" dxfId="167" priority="301" stopIfTrue="1">
      <formula>K67&lt;0</formula>
    </cfRule>
  </conditionalFormatting>
  <conditionalFormatting sqref="I67:I68 I70">
    <cfRule type="expression" dxfId="166" priority="300" stopIfTrue="1">
      <formula>K67&lt;0</formula>
    </cfRule>
  </conditionalFormatting>
  <conditionalFormatting sqref="K67:K68 K70">
    <cfRule type="expression" dxfId="165" priority="297" stopIfTrue="1">
      <formula>P67="1"</formula>
    </cfRule>
    <cfRule type="expression" dxfId="164" priority="298" stopIfTrue="1">
      <formula>P67="3"</formula>
    </cfRule>
    <cfRule type="expression" dxfId="163" priority="299" stopIfTrue="1">
      <formula>K67&lt;0</formula>
    </cfRule>
  </conditionalFormatting>
  <conditionalFormatting sqref="K69">
    <cfRule type="expression" dxfId="162" priority="280" stopIfTrue="1">
      <formula>P69="1"</formula>
    </cfRule>
    <cfRule type="expression" dxfId="161" priority="281" stopIfTrue="1">
      <formula>P69="3"</formula>
    </cfRule>
    <cfRule type="expression" dxfId="160" priority="282" stopIfTrue="1">
      <formula>K69&lt;0</formula>
    </cfRule>
  </conditionalFormatting>
  <conditionalFormatting sqref="K212">
    <cfRule type="expression" dxfId="159" priority="277" stopIfTrue="1">
      <formula>P212="1"</formula>
    </cfRule>
    <cfRule type="expression" dxfId="158" priority="278" stopIfTrue="1">
      <formula>P212="3"</formula>
    </cfRule>
    <cfRule type="expression" dxfId="157" priority="279" stopIfTrue="1">
      <formula>K212&lt;0</formula>
    </cfRule>
  </conditionalFormatting>
  <conditionalFormatting sqref="O293">
    <cfRule type="expression" dxfId="156" priority="276">
      <formula>S293="3"</formula>
    </cfRule>
  </conditionalFormatting>
  <conditionalFormatting sqref="O293">
    <cfRule type="expression" dxfId="155" priority="275">
      <formula>S293="3"</formula>
    </cfRule>
  </conditionalFormatting>
  <conditionalFormatting sqref="O293">
    <cfRule type="expression" dxfId="154" priority="274">
      <formula>S293="3"</formula>
    </cfRule>
  </conditionalFormatting>
  <conditionalFormatting sqref="O293:Q293">
    <cfRule type="expression" dxfId="153" priority="273">
      <formula>S293="3"</formula>
    </cfRule>
  </conditionalFormatting>
  <conditionalFormatting sqref="O293:Q293">
    <cfRule type="expression" dxfId="152" priority="272">
      <formula>S293="3"</formula>
    </cfRule>
  </conditionalFormatting>
  <conditionalFormatting sqref="O293:Q293">
    <cfRule type="expression" dxfId="151" priority="271">
      <formula>S293="3"</formula>
    </cfRule>
  </conditionalFormatting>
  <conditionalFormatting sqref="F232:F233">
    <cfRule type="expression" dxfId="150" priority="258" stopIfTrue="1">
      <formula>K232&lt;0</formula>
    </cfRule>
  </conditionalFormatting>
  <conditionalFormatting sqref="G232:G233">
    <cfRule type="expression" dxfId="149" priority="257" stopIfTrue="1">
      <formula>K232&lt;0</formula>
    </cfRule>
  </conditionalFormatting>
  <conditionalFormatting sqref="H232:H233">
    <cfRule type="expression" dxfId="148" priority="256" stopIfTrue="1">
      <formula>K232&lt;0</formula>
    </cfRule>
  </conditionalFormatting>
  <conditionalFormatting sqref="I232:I233">
    <cfRule type="expression" dxfId="147" priority="255" stopIfTrue="1">
      <formula>K232&lt;0</formula>
    </cfRule>
  </conditionalFormatting>
  <conditionalFormatting sqref="K232:K233">
    <cfRule type="expression" dxfId="146" priority="252" stopIfTrue="1">
      <formula>P232="1"</formula>
    </cfRule>
    <cfRule type="expression" dxfId="145" priority="253" stopIfTrue="1">
      <formula>P232="3"</formula>
    </cfRule>
    <cfRule type="expression" dxfId="144" priority="254" stopIfTrue="1">
      <formula>K232&lt;0</formula>
    </cfRule>
  </conditionalFormatting>
  <conditionalFormatting sqref="K235">
    <cfRule type="expression" dxfId="143" priority="242" stopIfTrue="1">
      <formula>P235="1"</formula>
    </cfRule>
    <cfRule type="expression" dxfId="142" priority="243" stopIfTrue="1">
      <formula>P235="3"</formula>
    </cfRule>
    <cfRule type="expression" dxfId="141" priority="244" stopIfTrue="1">
      <formula>K235&lt;0</formula>
    </cfRule>
  </conditionalFormatting>
  <conditionalFormatting sqref="K296">
    <cfRule type="expression" dxfId="140" priority="236" stopIfTrue="1">
      <formula>P296="1"</formula>
    </cfRule>
    <cfRule type="expression" dxfId="139" priority="237" stopIfTrue="1">
      <formula>P296="3"</formula>
    </cfRule>
    <cfRule type="expression" dxfId="138" priority="238" stopIfTrue="1">
      <formula>K296&lt;0</formula>
    </cfRule>
  </conditionalFormatting>
  <conditionalFormatting sqref="O464">
    <cfRule type="expression" dxfId="137" priority="235">
      <formula>S464="3"</formula>
    </cfRule>
  </conditionalFormatting>
  <conditionalFormatting sqref="O464">
    <cfRule type="expression" dxfId="136" priority="234">
      <formula>S464="3"</formula>
    </cfRule>
  </conditionalFormatting>
  <conditionalFormatting sqref="O464">
    <cfRule type="expression" dxfId="135" priority="233">
      <formula>S464="3"</formula>
    </cfRule>
  </conditionalFormatting>
  <conditionalFormatting sqref="O464:Q464">
    <cfRule type="expression" dxfId="134" priority="232">
      <formula>S464="3"</formula>
    </cfRule>
  </conditionalFormatting>
  <conditionalFormatting sqref="O464:Q464">
    <cfRule type="expression" dxfId="133" priority="231">
      <formula>S464="3"</formula>
    </cfRule>
  </conditionalFormatting>
  <conditionalFormatting sqref="O464:Q464">
    <cfRule type="expression" dxfId="132" priority="230">
      <formula>S464="3"</formula>
    </cfRule>
  </conditionalFormatting>
  <conditionalFormatting sqref="N464">
    <cfRule type="expression" dxfId="131" priority="219">
      <formula>R464="3"</formula>
    </cfRule>
  </conditionalFormatting>
  <conditionalFormatting sqref="N464">
    <cfRule type="expression" dxfId="130" priority="218">
      <formula>R464="3"</formula>
    </cfRule>
  </conditionalFormatting>
  <conditionalFormatting sqref="N464">
    <cfRule type="expression" dxfId="129" priority="217">
      <formula>R464="3"</formula>
    </cfRule>
  </conditionalFormatting>
  <conditionalFormatting sqref="K64">
    <cfRule type="expression" dxfId="128" priority="211" stopIfTrue="1">
      <formula>P64="1"</formula>
    </cfRule>
    <cfRule type="expression" dxfId="127" priority="212" stopIfTrue="1">
      <formula>P64="3"</formula>
    </cfRule>
    <cfRule type="expression" dxfId="126" priority="213" stopIfTrue="1">
      <formula>K64&lt;0</formula>
    </cfRule>
  </conditionalFormatting>
  <conditionalFormatting sqref="K326:K331">
    <cfRule type="expression" dxfId="125" priority="208" stopIfTrue="1">
      <formula>P326="1"</formula>
    </cfRule>
    <cfRule type="expression" dxfId="124" priority="209" stopIfTrue="1">
      <formula>P326="3"</formula>
    </cfRule>
    <cfRule type="expression" dxfId="123" priority="210" stopIfTrue="1">
      <formula>K326&lt;0</formula>
    </cfRule>
  </conditionalFormatting>
  <conditionalFormatting sqref="K354:K355">
    <cfRule type="expression" dxfId="122" priority="205" stopIfTrue="1">
      <formula>P354="1"</formula>
    </cfRule>
    <cfRule type="expression" dxfId="121" priority="206" stopIfTrue="1">
      <formula>P354="3"</formula>
    </cfRule>
    <cfRule type="expression" dxfId="120" priority="207" stopIfTrue="1">
      <formula>K354&lt;0</formula>
    </cfRule>
  </conditionalFormatting>
  <conditionalFormatting sqref="K217">
    <cfRule type="expression" dxfId="119" priority="190" stopIfTrue="1">
      <formula>P217="1"</formula>
    </cfRule>
    <cfRule type="expression" dxfId="118" priority="191" stopIfTrue="1">
      <formula>P217="3"</formula>
    </cfRule>
    <cfRule type="expression" dxfId="117" priority="192" stopIfTrue="1">
      <formula>K217&lt;0</formula>
    </cfRule>
  </conditionalFormatting>
  <conditionalFormatting sqref="K359:K360">
    <cfRule type="expression" dxfId="116" priority="199" stopIfTrue="1">
      <formula>P359="1"</formula>
    </cfRule>
    <cfRule type="expression" dxfId="115" priority="200" stopIfTrue="1">
      <formula>P359="3"</formula>
    </cfRule>
    <cfRule type="expression" dxfId="114" priority="201" stopIfTrue="1">
      <formula>K359&lt;0</formula>
    </cfRule>
  </conditionalFormatting>
  <conditionalFormatting sqref="K265">
    <cfRule type="expression" dxfId="113" priority="172" stopIfTrue="1">
      <formula>P265="1"</formula>
    </cfRule>
    <cfRule type="expression" dxfId="112" priority="173" stopIfTrue="1">
      <formula>P265="3"</formula>
    </cfRule>
    <cfRule type="expression" dxfId="111" priority="174" stopIfTrue="1">
      <formula>K265&lt;0</formula>
    </cfRule>
  </conditionalFormatting>
  <conditionalFormatting sqref="K220">
    <cfRule type="expression" dxfId="110" priority="193" stopIfTrue="1">
      <formula>P220="1"</formula>
    </cfRule>
    <cfRule type="expression" dxfId="109" priority="194" stopIfTrue="1">
      <formula>P220="3"</formula>
    </cfRule>
    <cfRule type="expression" dxfId="108" priority="195" stopIfTrue="1">
      <formula>K220&lt;0</formula>
    </cfRule>
  </conditionalFormatting>
  <conditionalFormatting sqref="K222">
    <cfRule type="expression" dxfId="107" priority="184" stopIfTrue="1">
      <formula>P222="1"</formula>
    </cfRule>
    <cfRule type="expression" dxfId="106" priority="185" stopIfTrue="1">
      <formula>P222="3"</formula>
    </cfRule>
    <cfRule type="expression" dxfId="105" priority="186" stopIfTrue="1">
      <formula>K222&lt;0</formula>
    </cfRule>
  </conditionalFormatting>
  <conditionalFormatting sqref="K225">
    <cfRule type="expression" dxfId="104" priority="187" stopIfTrue="1">
      <formula>P225="1"</formula>
    </cfRule>
    <cfRule type="expression" dxfId="103" priority="188" stopIfTrue="1">
      <formula>P225="3"</formula>
    </cfRule>
    <cfRule type="expression" dxfId="102" priority="189" stopIfTrue="1">
      <formula>K225&lt;0</formula>
    </cfRule>
  </conditionalFormatting>
  <conditionalFormatting sqref="K255">
    <cfRule type="expression" dxfId="101" priority="178" stopIfTrue="1">
      <formula>P255="1"</formula>
    </cfRule>
    <cfRule type="expression" dxfId="100" priority="179" stopIfTrue="1">
      <formula>P255="3"</formula>
    </cfRule>
    <cfRule type="expression" dxfId="99" priority="180" stopIfTrue="1">
      <formula>K255&lt;0</formula>
    </cfRule>
  </conditionalFormatting>
  <conditionalFormatting sqref="K270">
    <cfRule type="expression" dxfId="98" priority="169" stopIfTrue="1">
      <formula>P270="1"</formula>
    </cfRule>
    <cfRule type="expression" dxfId="97" priority="170" stopIfTrue="1">
      <formula>P270="3"</formula>
    </cfRule>
    <cfRule type="expression" dxfId="96" priority="171" stopIfTrue="1">
      <formula>K270&lt;0</formula>
    </cfRule>
  </conditionalFormatting>
  <conditionalFormatting sqref="K275">
    <cfRule type="expression" dxfId="95" priority="166" stopIfTrue="1">
      <formula>P275="1"</formula>
    </cfRule>
    <cfRule type="expression" dxfId="94" priority="167" stopIfTrue="1">
      <formula>P275="3"</formula>
    </cfRule>
    <cfRule type="expression" dxfId="93" priority="168" stopIfTrue="1">
      <formula>K275&lt;0</formula>
    </cfRule>
  </conditionalFormatting>
  <conditionalFormatting sqref="K260">
    <cfRule type="expression" dxfId="92" priority="175" stopIfTrue="1">
      <formula>P260="1"</formula>
    </cfRule>
    <cfRule type="expression" dxfId="91" priority="176" stopIfTrue="1">
      <formula>P260="3"</formula>
    </cfRule>
    <cfRule type="expression" dxfId="90" priority="177" stopIfTrue="1">
      <formula>K260&lt;0</formula>
    </cfRule>
  </conditionalFormatting>
  <conditionalFormatting sqref="K250">
    <cfRule type="expression" dxfId="89" priority="163" stopIfTrue="1">
      <formula>P250="1"</formula>
    </cfRule>
    <cfRule type="expression" dxfId="88" priority="164" stopIfTrue="1">
      <formula>P250="3"</formula>
    </cfRule>
    <cfRule type="expression" dxfId="87" priority="165" stopIfTrue="1">
      <formula>K250&lt;0</formula>
    </cfRule>
  </conditionalFormatting>
  <conditionalFormatting sqref="K280">
    <cfRule type="expression" dxfId="86" priority="160" stopIfTrue="1">
      <formula>P280="1"</formula>
    </cfRule>
    <cfRule type="expression" dxfId="85" priority="161" stopIfTrue="1">
      <formula>P280="3"</formula>
    </cfRule>
    <cfRule type="expression" dxfId="84" priority="162" stopIfTrue="1">
      <formula>K280&lt;0</formula>
    </cfRule>
  </conditionalFormatting>
  <conditionalFormatting sqref="K401:K402">
    <cfRule type="expression" dxfId="83" priority="157" stopIfTrue="1">
      <formula>P401="1"</formula>
    </cfRule>
    <cfRule type="expression" dxfId="82" priority="158" stopIfTrue="1">
      <formula>P401="3"</formula>
    </cfRule>
    <cfRule type="expression" dxfId="81" priority="159" stopIfTrue="1">
      <formula>K401&lt;0</formula>
    </cfRule>
  </conditionalFormatting>
  <conditionalFormatting sqref="K334:K335">
    <cfRule type="expression" dxfId="80" priority="151" stopIfTrue="1">
      <formula>P334="1"</formula>
    </cfRule>
    <cfRule type="expression" dxfId="79" priority="152" stopIfTrue="1">
      <formula>P334="3"</formula>
    </cfRule>
    <cfRule type="expression" dxfId="78" priority="153" stopIfTrue="1">
      <formula>K334&lt;0</formula>
    </cfRule>
  </conditionalFormatting>
  <conditionalFormatting sqref="K341">
    <cfRule type="expression" dxfId="77" priority="139" stopIfTrue="1">
      <formula>P341="1"</formula>
    </cfRule>
    <cfRule type="expression" dxfId="76" priority="140" stopIfTrue="1">
      <formula>P341="3"</formula>
    </cfRule>
    <cfRule type="expression" dxfId="75" priority="141" stopIfTrue="1">
      <formula>K341&lt;0</formula>
    </cfRule>
  </conditionalFormatting>
  <conditionalFormatting sqref="K336">
    <cfRule type="expression" dxfId="74" priority="145" stopIfTrue="1">
      <formula>P336="1"</formula>
    </cfRule>
    <cfRule type="expression" dxfId="73" priority="146" stopIfTrue="1">
      <formula>P336="3"</formula>
    </cfRule>
    <cfRule type="expression" dxfId="72" priority="147" stopIfTrue="1">
      <formula>K336&lt;0</formula>
    </cfRule>
  </conditionalFormatting>
  <conditionalFormatting sqref="K339:K340">
    <cfRule type="expression" dxfId="71" priority="142" stopIfTrue="1">
      <formula>P339="1"</formula>
    </cfRule>
    <cfRule type="expression" dxfId="70" priority="143" stopIfTrue="1">
      <formula>P339="3"</formula>
    </cfRule>
    <cfRule type="expression" dxfId="69" priority="144" stopIfTrue="1">
      <formula>K339&lt;0</formula>
    </cfRule>
  </conditionalFormatting>
  <conditionalFormatting sqref="K344:K345">
    <cfRule type="expression" dxfId="68" priority="133" stopIfTrue="1">
      <formula>P344="1"</formula>
    </cfRule>
    <cfRule type="expression" dxfId="67" priority="134" stopIfTrue="1">
      <formula>P344="3"</formula>
    </cfRule>
    <cfRule type="expression" dxfId="66" priority="135" stopIfTrue="1">
      <formula>K344&lt;0</formula>
    </cfRule>
  </conditionalFormatting>
  <conditionalFormatting sqref="K285">
    <cfRule type="expression" dxfId="65" priority="127" stopIfTrue="1">
      <formula>P285="1"</formula>
    </cfRule>
    <cfRule type="expression" dxfId="64" priority="128" stopIfTrue="1">
      <formula>P285="3"</formula>
    </cfRule>
    <cfRule type="expression" dxfId="63" priority="129" stopIfTrue="1">
      <formula>K285&lt;0</formula>
    </cfRule>
  </conditionalFormatting>
  <conditionalFormatting sqref="K290">
    <cfRule type="expression" dxfId="62" priority="124" stopIfTrue="1">
      <formula>P290="1"</formula>
    </cfRule>
    <cfRule type="expression" dxfId="61" priority="125" stopIfTrue="1">
      <formula>P290="3"</formula>
    </cfRule>
    <cfRule type="expression" dxfId="60" priority="126" stopIfTrue="1">
      <formula>K290&lt;0</formula>
    </cfRule>
  </conditionalFormatting>
  <conditionalFormatting sqref="K115">
    <cfRule type="expression" dxfId="59" priority="118" stopIfTrue="1">
      <formula>P115="1"</formula>
    </cfRule>
    <cfRule type="expression" dxfId="58" priority="119" stopIfTrue="1">
      <formula>P115="3"</formula>
    </cfRule>
    <cfRule type="expression" dxfId="57" priority="120" stopIfTrue="1">
      <formula>K115&lt;0</formula>
    </cfRule>
  </conditionalFormatting>
  <conditionalFormatting sqref="O209">
    <cfRule type="expression" dxfId="56" priority="117">
      <formula>S209="3"</formula>
    </cfRule>
  </conditionalFormatting>
  <conditionalFormatting sqref="O209">
    <cfRule type="expression" dxfId="55" priority="116">
      <formula>S209="3"</formula>
    </cfRule>
  </conditionalFormatting>
  <conditionalFormatting sqref="O209">
    <cfRule type="expression" dxfId="54" priority="115">
      <formula>S209="3"</formula>
    </cfRule>
  </conditionalFormatting>
  <conditionalFormatting sqref="O209:Q209">
    <cfRule type="expression" dxfId="53" priority="114">
      <formula>S209="3"</formula>
    </cfRule>
  </conditionalFormatting>
  <conditionalFormatting sqref="O209:Q209">
    <cfRule type="expression" dxfId="52" priority="113">
      <formula>S209="3"</formula>
    </cfRule>
  </conditionalFormatting>
  <conditionalFormatting sqref="O209:Q209">
    <cfRule type="expression" dxfId="51" priority="112">
      <formula>S209="3"</formula>
    </cfRule>
  </conditionalFormatting>
  <conditionalFormatting sqref="K42">
    <cfRule type="expression" dxfId="50" priority="71" stopIfTrue="1">
      <formula>P42="1"</formula>
    </cfRule>
    <cfRule type="expression" dxfId="49" priority="72" stopIfTrue="1">
      <formula>P42="3"</formula>
    </cfRule>
    <cfRule type="expression" dxfId="48" priority="73" stopIfTrue="1">
      <formula>K42&lt;0</formula>
    </cfRule>
  </conditionalFormatting>
  <conditionalFormatting sqref="K39:K40">
    <cfRule type="expression" dxfId="47" priority="65" stopIfTrue="1">
      <formula>P39="1"</formula>
    </cfRule>
    <cfRule type="expression" dxfId="46" priority="66" stopIfTrue="1">
      <formula>P39="3"</formula>
    </cfRule>
    <cfRule type="expression" dxfId="45" priority="67" stopIfTrue="1">
      <formula>K39&lt;0</formula>
    </cfRule>
  </conditionalFormatting>
  <conditionalFormatting sqref="K46">
    <cfRule type="expression" dxfId="44" priority="59" stopIfTrue="1">
      <formula>P46="1"</formula>
    </cfRule>
    <cfRule type="expression" dxfId="43" priority="60" stopIfTrue="1">
      <formula>P46="3"</formula>
    </cfRule>
    <cfRule type="expression" dxfId="42" priority="61" stopIfTrue="1">
      <formula>K46&lt;0</formula>
    </cfRule>
  </conditionalFormatting>
  <conditionalFormatting sqref="K47">
    <cfRule type="expression" dxfId="41" priority="56" stopIfTrue="1">
      <formula>P47="1"</formula>
    </cfRule>
    <cfRule type="expression" dxfId="40" priority="57" stopIfTrue="1">
      <formula>P47="3"</formula>
    </cfRule>
    <cfRule type="expression" dxfId="39" priority="58" stopIfTrue="1">
      <formula>K47&lt;0</formula>
    </cfRule>
  </conditionalFormatting>
  <conditionalFormatting sqref="K77">
    <cfRule type="expression" dxfId="38" priority="50" stopIfTrue="1">
      <formula>P77="1"</formula>
    </cfRule>
    <cfRule type="expression" dxfId="37" priority="51" stopIfTrue="1">
      <formula>P77="3"</formula>
    </cfRule>
    <cfRule type="expression" dxfId="36" priority="52" stopIfTrue="1">
      <formula>K77&lt;0</formula>
    </cfRule>
  </conditionalFormatting>
  <conditionalFormatting sqref="O112">
    <cfRule type="expression" dxfId="35" priority="49">
      <formula>S112="3"</formula>
    </cfRule>
  </conditionalFormatting>
  <conditionalFormatting sqref="O112">
    <cfRule type="expression" dxfId="34" priority="48">
      <formula>S112="3"</formula>
    </cfRule>
  </conditionalFormatting>
  <conditionalFormatting sqref="O112">
    <cfRule type="expression" dxfId="33" priority="47">
      <formula>S112="3"</formula>
    </cfRule>
  </conditionalFormatting>
  <conditionalFormatting sqref="O112:Q112">
    <cfRule type="expression" dxfId="32" priority="46">
      <formula>S112="3"</formula>
    </cfRule>
  </conditionalFormatting>
  <conditionalFormatting sqref="O112:Q112">
    <cfRule type="expression" dxfId="31" priority="45">
      <formula>S112="3"</formula>
    </cfRule>
  </conditionalFormatting>
  <conditionalFormatting sqref="O112:Q112">
    <cfRule type="expression" dxfId="30" priority="44">
      <formula>S112="3"</formula>
    </cfRule>
  </conditionalFormatting>
  <conditionalFormatting sqref="K87">
    <cfRule type="expression" dxfId="29" priority="41" stopIfTrue="1">
      <formula>P87="1"</formula>
    </cfRule>
    <cfRule type="expression" dxfId="28" priority="42" stopIfTrue="1">
      <formula>P87="3"</formula>
    </cfRule>
    <cfRule type="expression" dxfId="27" priority="43" stopIfTrue="1">
      <formula>K87&lt;0</formula>
    </cfRule>
  </conditionalFormatting>
  <conditionalFormatting sqref="K82">
    <cfRule type="expression" dxfId="26" priority="25" stopIfTrue="1">
      <formula>P82="1"</formula>
    </cfRule>
    <cfRule type="expression" dxfId="25" priority="26" stopIfTrue="1">
      <formula>P82="3"</formula>
    </cfRule>
    <cfRule type="expression" dxfId="24" priority="27" stopIfTrue="1">
      <formula>K82&lt;0</formula>
    </cfRule>
  </conditionalFormatting>
  <conditionalFormatting sqref="K118">
    <cfRule type="expression" dxfId="23" priority="22" stopIfTrue="1">
      <formula>P118="1"</formula>
    </cfRule>
    <cfRule type="expression" dxfId="22" priority="23" stopIfTrue="1">
      <formula>P118="3"</formula>
    </cfRule>
    <cfRule type="expression" dxfId="21" priority="24" stopIfTrue="1">
      <formula>K118&lt;0</formula>
    </cfRule>
  </conditionalFormatting>
  <conditionalFormatting sqref="K132">
    <cfRule type="expression" dxfId="20" priority="19" stopIfTrue="1">
      <formula>P132="1"</formula>
    </cfRule>
    <cfRule type="expression" dxfId="19" priority="20" stopIfTrue="1">
      <formula>P132="3"</formula>
    </cfRule>
    <cfRule type="expression" dxfId="18" priority="21" stopIfTrue="1">
      <formula>K132&lt;0</formula>
    </cfRule>
  </conditionalFormatting>
  <conditionalFormatting sqref="K138">
    <cfRule type="expression" dxfId="17" priority="16" stopIfTrue="1">
      <formula>P138="1"</formula>
    </cfRule>
    <cfRule type="expression" dxfId="16" priority="17" stopIfTrue="1">
      <formula>P138="3"</formula>
    </cfRule>
    <cfRule type="expression" dxfId="15" priority="18" stopIfTrue="1">
      <formula>K138&lt;0</formula>
    </cfRule>
  </conditionalFormatting>
  <conditionalFormatting sqref="K93:K94 K100:K101">
    <cfRule type="expression" dxfId="14" priority="13" stopIfTrue="1">
      <formula>P93="1"</formula>
    </cfRule>
    <cfRule type="expression" dxfId="13" priority="14" stopIfTrue="1">
      <formula>P93="3"</formula>
    </cfRule>
    <cfRule type="expression" dxfId="12" priority="15" stopIfTrue="1">
      <formula>K93&lt;0</formula>
    </cfRule>
  </conditionalFormatting>
  <conditionalFormatting sqref="K102">
    <cfRule type="expression" dxfId="11" priority="10" stopIfTrue="1">
      <formula>P102="1"</formula>
    </cfRule>
    <cfRule type="expression" dxfId="10" priority="11" stopIfTrue="1">
      <formula>P102="3"</formula>
    </cfRule>
    <cfRule type="expression" dxfId="9" priority="12" stopIfTrue="1">
      <formula>K102&lt;0</formula>
    </cfRule>
  </conditionalFormatting>
  <conditionalFormatting sqref="K109:K110">
    <cfRule type="expression" dxfId="8" priority="7" stopIfTrue="1">
      <formula>P109="1"</formula>
    </cfRule>
    <cfRule type="expression" dxfId="7" priority="8" stopIfTrue="1">
      <formula>P109="3"</formula>
    </cfRule>
    <cfRule type="expression" dxfId="6" priority="9" stopIfTrue="1">
      <formula>K109&lt;0</formula>
    </cfRule>
  </conditionalFormatting>
  <conditionalFormatting sqref="K108">
    <cfRule type="expression" dxfId="5" priority="4" stopIfTrue="1">
      <formula>P108="1"</formula>
    </cfRule>
    <cfRule type="expression" dxfId="4" priority="5" stopIfTrue="1">
      <formula>P108="3"</formula>
    </cfRule>
    <cfRule type="expression" dxfId="3" priority="6" stopIfTrue="1">
      <formula>K108&lt;0</formula>
    </cfRule>
  </conditionalFormatting>
  <conditionalFormatting sqref="K98:K99">
    <cfRule type="expression" dxfId="2" priority="1" stopIfTrue="1">
      <formula>P98="1"</formula>
    </cfRule>
    <cfRule type="expression" dxfId="1" priority="2" stopIfTrue="1">
      <formula>P98="3"</formula>
    </cfRule>
    <cfRule type="expression" dxfId="0" priority="3" stopIfTrue="1">
      <formula>K98&lt;0</formula>
    </cfRule>
  </conditionalFormatting>
  <pageMargins left="0.78740157480314965" right="0" top="0.98425196850393704" bottom="0.59055118110236227" header="0.51181102362204722" footer="0.19685039370078741"/>
  <pageSetup paperSize="9" scale="77" fitToHeight="0" orientation="landscape" r:id="rId1"/>
  <headerFooter>
    <oddHeader>&amp;L&amp;"Tahoma,Grassetto"&amp;10SO.GE.M.I.
RILANCIO E RIQUALIFICAZIONE MERCATI GENERALI DI MILANO&amp;C&amp;"Tahoma,Grassetto"&amp;10LOTTO 1.03
PIATTAFORMA AMBULANTI CARNE &amp;R&amp;"Tahoma,Grassetto"&amp;10 2a PERIZIA DI VARIANTE
ADEGUAMENTI FUNZIONALI</oddHeader>
    <oddFooter>&amp;L&amp;D&amp;R&amp;P/&amp;N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workbookViewId="0">
      <selection activeCell="J10" sqref="J10"/>
    </sheetView>
  </sheetViews>
  <sheetFormatPr defaultColWidth="9.28515625" defaultRowHeight="10.5" customHeight="1" x14ac:dyDescent="0.2"/>
  <sheetData>
    <row r="1" spans="1:3" ht="10.5" customHeight="1" x14ac:dyDescent="0.2">
      <c r="A1" t="s">
        <v>3</v>
      </c>
      <c r="B1">
        <v>4</v>
      </c>
      <c r="C1">
        <v>0</v>
      </c>
    </row>
    <row r="2" spans="1:3" ht="10.5" customHeight="1" x14ac:dyDescent="0.2">
      <c r="A2" t="s">
        <v>2</v>
      </c>
    </row>
    <row r="3" spans="1:3" ht="10.5" customHeight="1" x14ac:dyDescent="0.2">
      <c r="A3" t="s">
        <v>1</v>
      </c>
    </row>
    <row r="4" spans="1:3" ht="10.5" customHeight="1" x14ac:dyDescent="0.2">
      <c r="A4" t="s">
        <v>0</v>
      </c>
    </row>
  </sheetData>
  <phoneticPr fontId="0" type="noConversion"/>
  <pageMargins left="0.75" right="0.75" top="1" bottom="1" header="0.5" footer="0.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CME variante - riepilogo</vt:lpstr>
      <vt:lpstr>CME variante - dettaglio</vt:lpstr>
      <vt:lpstr>'CME variante - dettaglio'!Area_stampa</vt:lpstr>
      <vt:lpstr>'CME variante - dettaglio'!Titoli_stampa</vt:lpstr>
    </vt:vector>
  </TitlesOfParts>
  <Company>ACCA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ACCA</dc:creator>
  <cp:lastModifiedBy>Andrea Poloni</cp:lastModifiedBy>
  <cp:lastPrinted>2014-10-27T10:06:39Z</cp:lastPrinted>
  <dcterms:created xsi:type="dcterms:W3CDTF">2005-07-14T10:38:54Z</dcterms:created>
  <dcterms:modified xsi:type="dcterms:W3CDTF">2014-11-04T14:32:04Z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olution ID">
    <vt:lpwstr>None</vt:lpwstr>
  </property>
</Properties>
</file>